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<sst xmlns="http://schemas.openxmlformats.org/spreadsheetml/2006/main" count="271" uniqueCount="139">
  <si>
    <t>Detector</t>
  </si>
  <si>
    <t>Material</t>
  </si>
  <si>
    <t>Shape</t>
  </si>
  <si>
    <t>Thickness</t>
  </si>
  <si>
    <t>cm</t>
  </si>
  <si>
    <t>Top z</t>
  </si>
  <si>
    <t>Clearance</t>
  </si>
  <si>
    <t>TRD</t>
  </si>
  <si>
    <t>T1</t>
  </si>
  <si>
    <t>T2</t>
  </si>
  <si>
    <t>Cal SCN 1</t>
  </si>
  <si>
    <t>Cal SCN 2</t>
  </si>
  <si>
    <t>Abs 1</t>
  </si>
  <si>
    <t>Abs 2</t>
  </si>
  <si>
    <t>Abs 3</t>
  </si>
  <si>
    <t>Cal SCN 3</t>
  </si>
  <si>
    <t>Abs 4</t>
  </si>
  <si>
    <t>Cal SCN 4</t>
  </si>
  <si>
    <t>Abs 5</t>
  </si>
  <si>
    <t>Cal SCN 5</t>
  </si>
  <si>
    <t>Abs 6</t>
  </si>
  <si>
    <t>Cal SCN 6</t>
  </si>
  <si>
    <t>Abs 7</t>
  </si>
  <si>
    <t>Cal SCN 7</t>
  </si>
  <si>
    <t>Abs 8</t>
  </si>
  <si>
    <t>Cal SCN 8</t>
  </si>
  <si>
    <t>Abs 9</t>
  </si>
  <si>
    <t>Cal SCN 9</t>
  </si>
  <si>
    <t>Abs 10</t>
  </si>
  <si>
    <t>Cal SCN 10</t>
  </si>
  <si>
    <t>Abs 11</t>
  </si>
  <si>
    <t>Cal SCN 11</t>
  </si>
  <si>
    <t>Abs 12</t>
  </si>
  <si>
    <t>Cal SCN 12</t>
  </si>
  <si>
    <t>Abs 13</t>
  </si>
  <si>
    <t>Cal SCN 13</t>
  </si>
  <si>
    <t>Abs 14</t>
  </si>
  <si>
    <t>Cal SCN 14</t>
  </si>
  <si>
    <t>Abs 15</t>
  </si>
  <si>
    <t>Cal SCN 15</t>
  </si>
  <si>
    <t>Abs 16</t>
  </si>
  <si>
    <t>Cal SCN 16</t>
  </si>
  <si>
    <t>Abs 17</t>
  </si>
  <si>
    <t>Cal SCN 17</t>
  </si>
  <si>
    <t>Abs 18</t>
  </si>
  <si>
    <t>Cal SCN 18</t>
  </si>
  <si>
    <t>Abs 19</t>
  </si>
  <si>
    <t>Cal SCN 19</t>
  </si>
  <si>
    <t>Abs 20</t>
  </si>
  <si>
    <t>Cal SCN 20</t>
  </si>
  <si>
    <t>BC408</t>
  </si>
  <si>
    <t>Foam</t>
  </si>
  <si>
    <t>Graphite</t>
  </si>
  <si>
    <t>Tungsten</t>
  </si>
  <si>
    <t>Box</t>
  </si>
  <si>
    <t>Mass</t>
  </si>
  <si>
    <t>SCN 2X</t>
  </si>
  <si>
    <t>SCN 2Y</t>
  </si>
  <si>
    <t>Margin</t>
  </si>
  <si>
    <t>deg</t>
  </si>
  <si>
    <t>QDET</t>
  </si>
  <si>
    <t>Target SCN</t>
  </si>
  <si>
    <t>Target C</t>
  </si>
  <si>
    <t>Target</t>
  </si>
  <si>
    <t>Cal</t>
  </si>
  <si>
    <t>CREAM</t>
  </si>
  <si>
    <t>Angle</t>
  </si>
  <si>
    <t>rad</t>
  </si>
  <si>
    <t>r</t>
  </si>
  <si>
    <t>g/cm^3</t>
  </si>
  <si>
    <r>
      <t>l</t>
    </r>
    <r>
      <rPr>
        <b/>
        <sz val="10"/>
        <rFont val="Arial"/>
        <family val="2"/>
      </rPr>
      <t>_int</t>
    </r>
  </si>
  <si>
    <t>kg</t>
  </si>
  <si>
    <t>S0 (pixels)</t>
  </si>
  <si>
    <t>QDET 1X</t>
  </si>
  <si>
    <t>QDET 1Y</t>
  </si>
  <si>
    <t>Wrap</t>
  </si>
  <si>
    <t>Teflon</t>
  </si>
  <si>
    <t>Sheet</t>
  </si>
  <si>
    <t>QDET 2X</t>
  </si>
  <si>
    <t>QDET 2Y</t>
  </si>
  <si>
    <t>TRD 1</t>
  </si>
  <si>
    <t>TRD 2</t>
  </si>
  <si>
    <t>Trpzoid</t>
  </si>
  <si>
    <t>Additional items</t>
  </si>
  <si>
    <t>Plastic</t>
  </si>
  <si>
    <t>Gas</t>
  </si>
  <si>
    <t>Elctrncs</t>
  </si>
  <si>
    <t>S0</t>
  </si>
  <si>
    <t>Total mass</t>
  </si>
  <si>
    <t>Bot width</t>
  </si>
  <si>
    <t>Top width</t>
  </si>
  <si>
    <t>Total</t>
  </si>
  <si>
    <t>Bare</t>
  </si>
  <si>
    <t>Mass (kg)</t>
  </si>
  <si>
    <t>(cm)</t>
  </si>
  <si>
    <r>
      <t>(l</t>
    </r>
    <r>
      <rPr>
        <b/>
        <sz val="10"/>
        <rFont val="Arial"/>
        <family val="2"/>
      </rPr>
      <t>_int)</t>
    </r>
  </si>
  <si>
    <t>Power system</t>
  </si>
  <si>
    <t>Flight train</t>
  </si>
  <si>
    <t>Inst.&amp;mission supp. Eq.</t>
  </si>
  <si>
    <t>Gondola (support)</t>
  </si>
  <si>
    <t>Allowed science wt</t>
  </si>
  <si>
    <t>CREAM sci w/conting</t>
  </si>
  <si>
    <t>McMurdo full-up</t>
  </si>
  <si>
    <t>ULDB full-up</t>
  </si>
  <si>
    <t>SCN Time Y</t>
  </si>
  <si>
    <t>SCN Time X</t>
  </si>
  <si>
    <t>Thermal</t>
  </si>
  <si>
    <t>Rotator</t>
  </si>
  <si>
    <t>Modifications</t>
  </si>
  <si>
    <t>1. Reduced target thickness to 9.5 cm each</t>
  </si>
  <si>
    <t>New limits</t>
  </si>
  <si>
    <t>3. Reduced teflon/tedlar to 2 mil thickness</t>
  </si>
  <si>
    <t>SCN 1Y</t>
  </si>
  <si>
    <t>SCN 1X</t>
  </si>
  <si>
    <t>2. Reduced opening angle to 30 degrees</t>
  </si>
  <si>
    <t>4. Reduced calorimeter to 50 cm x 50 cm</t>
  </si>
  <si>
    <t>Crush pad</t>
  </si>
  <si>
    <t>CAL</t>
  </si>
  <si>
    <t>Cal module</t>
  </si>
  <si>
    <t xml:space="preserve">  Target</t>
  </si>
  <si>
    <t xml:space="preserve">  Cal</t>
  </si>
  <si>
    <t>Tot+mrg</t>
  </si>
  <si>
    <t>61-pixel HPD/2" PMT</t>
  </si>
  <si>
    <t>5. Reduced TRD active areas to 120 cm x 120 cm</t>
  </si>
  <si>
    <t>6. Reduced QDET to 120 cm x 120 cm x 0.5 cm</t>
  </si>
  <si>
    <t>7. Wrappings of QDET are included in Mounting</t>
  </si>
  <si>
    <t>Zero-Pressure launch limit</t>
  </si>
  <si>
    <t>Super-Pressure launch limit</t>
  </si>
  <si>
    <t>Ballast and hopper</t>
  </si>
  <si>
    <t>Gross inflation</t>
  </si>
  <si>
    <t>Remaining for experiment</t>
  </si>
  <si>
    <t>Gross load</t>
  </si>
  <si>
    <t>Free lift (12% gross load)</t>
  </si>
  <si>
    <t>Balloon weight</t>
  </si>
  <si>
    <t>Terminate package</t>
  </si>
  <si>
    <t>Parachute</t>
  </si>
  <si>
    <t>Pin weight</t>
  </si>
  <si>
    <t>(unofficial)</t>
  </si>
  <si>
    <t>Mountng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</si>
</sst>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2">
    <font>
      <sz val="10"/>
      <name val="Arial"/>
      <family val="0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0"/>
    </font>
    <font>
      <b/>
      <sz val="10"/>
      <name val="Symbol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0"/>
  <sheetViews>
    <sheetView tabSelected="1" workbookViewId="0" topLeftCell="A171">
      <selection activeCell="G191" sqref="G191"/>
    </sheetView>
  </sheetViews>
  <sheetFormatPr defaultColWidth="9.140625" defaultRowHeight="12.75"/>
  <cols>
    <col min="1" max="1" width="10.8515625" style="0" bestFit="1" customWidth="1"/>
    <col min="2" max="2" width="14.00390625" style="0" customWidth="1"/>
    <col min="3" max="3" width="9.8515625" style="0" bestFit="1" customWidth="1"/>
    <col min="4" max="4" width="7.140625" style="0" bestFit="1" customWidth="1"/>
    <col min="5" max="5" width="8.57421875" style="0" bestFit="1" customWidth="1"/>
    <col min="6" max="6" width="9.28125" style="0" bestFit="1" customWidth="1"/>
    <col min="7" max="7" width="8.57421875" style="0" customWidth="1"/>
    <col min="8" max="8" width="8.140625" style="0" customWidth="1"/>
    <col min="9" max="9" width="10.140625" style="0" customWidth="1"/>
    <col min="10" max="10" width="9.00390625" style="0" customWidth="1"/>
    <col min="11" max="12" width="5.8515625" style="0" customWidth="1"/>
    <col min="13" max="13" width="6.8515625" style="0" customWidth="1"/>
  </cols>
  <sheetData>
    <row r="1" spans="1:11" s="16" customFormat="1" ht="15">
      <c r="A1" s="6" t="s">
        <v>0</v>
      </c>
      <c r="B1" s="6" t="s">
        <v>1</v>
      </c>
      <c r="C1" s="7" t="s">
        <v>68</v>
      </c>
      <c r="D1" s="7" t="s">
        <v>70</v>
      </c>
      <c r="E1" s="6" t="s">
        <v>2</v>
      </c>
      <c r="F1" s="37" t="s">
        <v>3</v>
      </c>
      <c r="G1" s="37"/>
      <c r="H1" s="6" t="s">
        <v>5</v>
      </c>
      <c r="I1" s="6" t="s">
        <v>90</v>
      </c>
      <c r="J1" s="6" t="s">
        <v>89</v>
      </c>
      <c r="K1" s="8" t="s">
        <v>55</v>
      </c>
    </row>
    <row r="2" spans="1:11" ht="12.75">
      <c r="A2" s="6"/>
      <c r="B2" s="6"/>
      <c r="C2" s="6" t="s">
        <v>69</v>
      </c>
      <c r="D2" s="6" t="s">
        <v>4</v>
      </c>
      <c r="E2" s="6"/>
      <c r="F2" s="6" t="s">
        <v>4</v>
      </c>
      <c r="G2" s="7" t="s">
        <v>70</v>
      </c>
      <c r="H2" s="6" t="s">
        <v>4</v>
      </c>
      <c r="I2" s="6" t="s">
        <v>4</v>
      </c>
      <c r="J2" s="6" t="s">
        <v>4</v>
      </c>
      <c r="K2" s="8" t="s">
        <v>71</v>
      </c>
    </row>
    <row r="3" spans="1:11" ht="12.75">
      <c r="A3" s="6"/>
      <c r="B3" s="6"/>
      <c r="C3" s="6"/>
      <c r="D3" s="6"/>
      <c r="E3" s="6"/>
      <c r="F3" s="6"/>
      <c r="G3" s="7"/>
      <c r="H3" s="6"/>
      <c r="I3" s="6"/>
      <c r="J3" s="6"/>
      <c r="K3" s="8"/>
    </row>
    <row r="4" spans="1:11" ht="12.75">
      <c r="A4" s="1" t="s">
        <v>75</v>
      </c>
      <c r="B4" t="s">
        <v>76</v>
      </c>
      <c r="C4">
        <v>2.2</v>
      </c>
      <c r="D4">
        <v>49.3</v>
      </c>
      <c r="E4" t="s">
        <v>77</v>
      </c>
      <c r="F4">
        <v>0.00508</v>
      </c>
      <c r="G4">
        <f>F4/D4</f>
        <v>0.0001030425963488844</v>
      </c>
      <c r="H4">
        <f aca="true" t="shared" si="0" ref="H4:H44">H5+F4</f>
        <v>95.18176000000001</v>
      </c>
      <c r="I4">
        <f>I5</f>
        <v>120</v>
      </c>
      <c r="J4">
        <f aca="true" t="shared" si="1" ref="J4:J9">I4</f>
        <v>120</v>
      </c>
      <c r="K4">
        <f aca="true" t="shared" si="2" ref="K4:K9">0.001*C4*I4*I4*F4</f>
        <v>0.1609344</v>
      </c>
    </row>
    <row r="5" spans="1:11" ht="12.75">
      <c r="A5" s="1" t="s">
        <v>73</v>
      </c>
      <c r="B5" t="s">
        <v>50</v>
      </c>
      <c r="C5">
        <v>1.032</v>
      </c>
      <c r="D5">
        <v>79.457</v>
      </c>
      <c r="E5" t="s">
        <v>54</v>
      </c>
      <c r="F5">
        <v>0.5</v>
      </c>
      <c r="G5">
        <f>F5/D5</f>
        <v>0.0062927117812149975</v>
      </c>
      <c r="H5">
        <f t="shared" si="0"/>
        <v>95.17668</v>
      </c>
      <c r="I5">
        <v>120</v>
      </c>
      <c r="J5">
        <f t="shared" si="1"/>
        <v>120</v>
      </c>
      <c r="K5">
        <f>0.001*C5*I5*I5*F5</f>
        <v>7.4304000000000014</v>
      </c>
    </row>
    <row r="6" spans="1:11" ht="12.75">
      <c r="A6" s="1" t="s">
        <v>75</v>
      </c>
      <c r="B6" t="str">
        <f aca="true" t="shared" si="3" ref="B6:G6">B4</f>
        <v>Teflon</v>
      </c>
      <c r="C6">
        <f t="shared" si="3"/>
        <v>2.2</v>
      </c>
      <c r="D6">
        <f t="shared" si="3"/>
        <v>49.3</v>
      </c>
      <c r="E6" t="str">
        <f t="shared" si="3"/>
        <v>Sheet</v>
      </c>
      <c r="F6">
        <f t="shared" si="3"/>
        <v>0.00508</v>
      </c>
      <c r="G6">
        <f t="shared" si="3"/>
        <v>0.0001030425963488844</v>
      </c>
      <c r="H6">
        <f t="shared" si="0"/>
        <v>94.67668</v>
      </c>
      <c r="I6">
        <f>I5</f>
        <v>120</v>
      </c>
      <c r="J6">
        <f t="shared" si="1"/>
        <v>120</v>
      </c>
      <c r="K6">
        <f t="shared" si="2"/>
        <v>0.1609344</v>
      </c>
    </row>
    <row r="7" spans="1:11" ht="12.75">
      <c r="A7" s="1" t="s">
        <v>75</v>
      </c>
      <c r="B7" t="str">
        <f aca="true" t="shared" si="4" ref="B7:G7">B4</f>
        <v>Teflon</v>
      </c>
      <c r="C7">
        <f t="shared" si="4"/>
        <v>2.2</v>
      </c>
      <c r="D7">
        <f t="shared" si="4"/>
        <v>49.3</v>
      </c>
      <c r="E7" t="str">
        <f t="shared" si="4"/>
        <v>Sheet</v>
      </c>
      <c r="F7">
        <f t="shared" si="4"/>
        <v>0.00508</v>
      </c>
      <c r="G7">
        <f t="shared" si="4"/>
        <v>0.0001030425963488844</v>
      </c>
      <c r="H7">
        <f t="shared" si="0"/>
        <v>94.6716</v>
      </c>
      <c r="I7">
        <f>I8</f>
        <v>120</v>
      </c>
      <c r="J7">
        <f t="shared" si="1"/>
        <v>120</v>
      </c>
      <c r="K7">
        <f t="shared" si="2"/>
        <v>0.1609344</v>
      </c>
    </row>
    <row r="8" spans="1:11" ht="12.75">
      <c r="A8" t="s">
        <v>74</v>
      </c>
      <c r="B8" t="str">
        <f>B5</f>
        <v>BC408</v>
      </c>
      <c r="C8">
        <f>C5</f>
        <v>1.032</v>
      </c>
      <c r="D8">
        <f>D5</f>
        <v>79.457</v>
      </c>
      <c r="E8" t="str">
        <f>E5</f>
        <v>Box</v>
      </c>
      <c r="F8">
        <f>F5</f>
        <v>0.5</v>
      </c>
      <c r="G8">
        <f>F8/D8</f>
        <v>0.0062927117812149975</v>
      </c>
      <c r="H8">
        <f t="shared" si="0"/>
        <v>94.66651999999999</v>
      </c>
      <c r="I8">
        <v>120</v>
      </c>
      <c r="J8">
        <f t="shared" si="1"/>
        <v>120</v>
      </c>
      <c r="K8">
        <f t="shared" si="2"/>
        <v>7.4304000000000014</v>
      </c>
    </row>
    <row r="9" spans="1:11" ht="12.75">
      <c r="A9" s="1" t="s">
        <v>75</v>
      </c>
      <c r="B9" t="str">
        <f aca="true" t="shared" si="5" ref="B9:G9">B4</f>
        <v>Teflon</v>
      </c>
      <c r="C9">
        <f t="shared" si="5"/>
        <v>2.2</v>
      </c>
      <c r="D9">
        <f t="shared" si="5"/>
        <v>49.3</v>
      </c>
      <c r="E9" t="str">
        <f t="shared" si="5"/>
        <v>Sheet</v>
      </c>
      <c r="F9">
        <f t="shared" si="5"/>
        <v>0.00508</v>
      </c>
      <c r="G9">
        <f t="shared" si="5"/>
        <v>0.0001030425963488844</v>
      </c>
      <c r="H9">
        <f t="shared" si="0"/>
        <v>94.16651999999999</v>
      </c>
      <c r="I9">
        <f>I8</f>
        <v>120</v>
      </c>
      <c r="J9">
        <f t="shared" si="1"/>
        <v>120</v>
      </c>
      <c r="K9">
        <f t="shared" si="2"/>
        <v>0.1609344</v>
      </c>
    </row>
    <row r="10" spans="1:10" ht="12.75">
      <c r="A10" t="s">
        <v>6</v>
      </c>
      <c r="F10">
        <v>0.3175</v>
      </c>
      <c r="H10">
        <f t="shared" si="0"/>
        <v>94.16143999999998</v>
      </c>
      <c r="I10">
        <f>I11</f>
        <v>125</v>
      </c>
      <c r="J10">
        <f>I11</f>
        <v>125</v>
      </c>
    </row>
    <row r="11" spans="1:11" ht="12.75">
      <c r="A11" t="s">
        <v>80</v>
      </c>
      <c r="B11" t="s">
        <v>51</v>
      </c>
      <c r="C11">
        <v>0.05</v>
      </c>
      <c r="D11">
        <v>1640</v>
      </c>
      <c r="E11" t="s">
        <v>54</v>
      </c>
      <c r="F11">
        <v>35</v>
      </c>
      <c r="G11">
        <f>F11/D11</f>
        <v>0.021341463414634148</v>
      </c>
      <c r="H11">
        <f t="shared" si="0"/>
        <v>93.84393999999999</v>
      </c>
      <c r="I11">
        <f>120+5</f>
        <v>125</v>
      </c>
      <c r="J11">
        <f>I11</f>
        <v>125</v>
      </c>
      <c r="K11">
        <f>0.001*C11*(I11-5)*(I11-5)*F11+4*0.025*I11</f>
        <v>37.7</v>
      </c>
    </row>
    <row r="12" spans="1:10" ht="12.75">
      <c r="A12" t="s">
        <v>6</v>
      </c>
      <c r="F12">
        <f>F10</f>
        <v>0.3175</v>
      </c>
      <c r="H12">
        <f t="shared" si="0"/>
        <v>58.84393999999999</v>
      </c>
      <c r="I12">
        <f>I11</f>
        <v>125</v>
      </c>
      <c r="J12">
        <f>I13</f>
        <v>120</v>
      </c>
    </row>
    <row r="13" spans="1:11" ht="12.75">
      <c r="A13" s="1" t="s">
        <v>75</v>
      </c>
      <c r="B13" t="str">
        <f aca="true" t="shared" si="6" ref="B13:G13">B4</f>
        <v>Teflon</v>
      </c>
      <c r="C13">
        <f t="shared" si="6"/>
        <v>2.2</v>
      </c>
      <c r="D13">
        <f t="shared" si="6"/>
        <v>49.3</v>
      </c>
      <c r="E13" t="str">
        <f t="shared" si="6"/>
        <v>Sheet</v>
      </c>
      <c r="F13">
        <f t="shared" si="6"/>
        <v>0.00508</v>
      </c>
      <c r="G13">
        <f t="shared" si="6"/>
        <v>0.0001030425963488844</v>
      </c>
      <c r="H13">
        <f t="shared" si="0"/>
        <v>58.52643999999999</v>
      </c>
      <c r="I13">
        <f>I14</f>
        <v>120</v>
      </c>
      <c r="J13">
        <f aca="true" t="shared" si="7" ref="J13:J30">I13</f>
        <v>120</v>
      </c>
      <c r="K13">
        <f aca="true" t="shared" si="8" ref="K13:K18">0.001*C13*I13*I13*F13</f>
        <v>0.1609344</v>
      </c>
    </row>
    <row r="14" spans="1:11" ht="12.75">
      <c r="A14" s="1" t="s">
        <v>78</v>
      </c>
      <c r="B14" t="str">
        <f>B5</f>
        <v>BC408</v>
      </c>
      <c r="C14">
        <f>C5</f>
        <v>1.032</v>
      </c>
      <c r="D14">
        <f>D5</f>
        <v>79.457</v>
      </c>
      <c r="E14" t="str">
        <f>E5</f>
        <v>Box</v>
      </c>
      <c r="F14">
        <f>F5</f>
        <v>0.5</v>
      </c>
      <c r="G14">
        <f>F14/D14</f>
        <v>0.0062927117812149975</v>
      </c>
      <c r="H14">
        <f t="shared" si="0"/>
        <v>58.52135999999999</v>
      </c>
      <c r="I14">
        <v>120</v>
      </c>
      <c r="J14">
        <f t="shared" si="7"/>
        <v>120</v>
      </c>
      <c r="K14">
        <f t="shared" si="8"/>
        <v>7.4304000000000014</v>
      </c>
    </row>
    <row r="15" spans="1:11" ht="12.75">
      <c r="A15" s="1" t="s">
        <v>75</v>
      </c>
      <c r="B15" t="str">
        <f aca="true" t="shared" si="9" ref="B15:G15">B4</f>
        <v>Teflon</v>
      </c>
      <c r="C15">
        <f t="shared" si="9"/>
        <v>2.2</v>
      </c>
      <c r="D15">
        <f t="shared" si="9"/>
        <v>49.3</v>
      </c>
      <c r="E15" t="str">
        <f t="shared" si="9"/>
        <v>Sheet</v>
      </c>
      <c r="F15">
        <f t="shared" si="9"/>
        <v>0.00508</v>
      </c>
      <c r="G15">
        <f t="shared" si="9"/>
        <v>0.0001030425963488844</v>
      </c>
      <c r="H15">
        <f t="shared" si="0"/>
        <v>58.02135999999999</v>
      </c>
      <c r="I15">
        <f>I14</f>
        <v>120</v>
      </c>
      <c r="J15">
        <f t="shared" si="7"/>
        <v>120</v>
      </c>
      <c r="K15">
        <f t="shared" si="8"/>
        <v>0.1609344</v>
      </c>
    </row>
    <row r="16" spans="1:11" ht="12.75">
      <c r="A16" s="1" t="s">
        <v>75</v>
      </c>
      <c r="B16" t="str">
        <f aca="true" t="shared" si="10" ref="B16:G16">B4</f>
        <v>Teflon</v>
      </c>
      <c r="C16">
        <f t="shared" si="10"/>
        <v>2.2</v>
      </c>
      <c r="D16">
        <f t="shared" si="10"/>
        <v>49.3</v>
      </c>
      <c r="E16" t="str">
        <f t="shared" si="10"/>
        <v>Sheet</v>
      </c>
      <c r="F16">
        <f t="shared" si="10"/>
        <v>0.00508</v>
      </c>
      <c r="G16">
        <f t="shared" si="10"/>
        <v>0.0001030425963488844</v>
      </c>
      <c r="H16">
        <f t="shared" si="0"/>
        <v>58.01627999999999</v>
      </c>
      <c r="I16">
        <f>I17</f>
        <v>120</v>
      </c>
      <c r="J16">
        <f t="shared" si="7"/>
        <v>120</v>
      </c>
      <c r="K16">
        <f t="shared" si="8"/>
        <v>0.1609344</v>
      </c>
    </row>
    <row r="17" spans="1:11" ht="12.75">
      <c r="A17" t="s">
        <v>79</v>
      </c>
      <c r="B17" t="str">
        <f>B5</f>
        <v>BC408</v>
      </c>
      <c r="C17">
        <f>C5</f>
        <v>1.032</v>
      </c>
      <c r="D17">
        <f>D5</f>
        <v>79.457</v>
      </c>
      <c r="E17" t="str">
        <f>E5</f>
        <v>Box</v>
      </c>
      <c r="F17">
        <f>F5</f>
        <v>0.5</v>
      </c>
      <c r="G17">
        <f>F17/D17</f>
        <v>0.0062927117812149975</v>
      </c>
      <c r="H17">
        <f t="shared" si="0"/>
        <v>58.01119999999999</v>
      </c>
      <c r="I17">
        <v>120</v>
      </c>
      <c r="J17">
        <f t="shared" si="7"/>
        <v>120</v>
      </c>
      <c r="K17">
        <f t="shared" si="8"/>
        <v>7.4304000000000014</v>
      </c>
    </row>
    <row r="18" spans="1:11" ht="12.75">
      <c r="A18" s="1" t="s">
        <v>75</v>
      </c>
      <c r="B18" t="str">
        <f aca="true" t="shared" si="11" ref="B18:G18">B4</f>
        <v>Teflon</v>
      </c>
      <c r="C18">
        <f t="shared" si="11"/>
        <v>2.2</v>
      </c>
      <c r="D18">
        <f t="shared" si="11"/>
        <v>49.3</v>
      </c>
      <c r="E18" t="str">
        <f t="shared" si="11"/>
        <v>Sheet</v>
      </c>
      <c r="F18">
        <f t="shared" si="11"/>
        <v>0.00508</v>
      </c>
      <c r="G18">
        <f t="shared" si="11"/>
        <v>0.0001030425963488844</v>
      </c>
      <c r="H18">
        <f t="shared" si="0"/>
        <v>57.51119999999999</v>
      </c>
      <c r="I18">
        <f>I17</f>
        <v>120</v>
      </c>
      <c r="J18">
        <f t="shared" si="7"/>
        <v>120</v>
      </c>
      <c r="K18">
        <f t="shared" si="8"/>
        <v>0.1609344</v>
      </c>
    </row>
    <row r="19" spans="1:10" ht="12.75">
      <c r="A19" t="s">
        <v>6</v>
      </c>
      <c r="F19">
        <f>F10</f>
        <v>0.3175</v>
      </c>
      <c r="H19">
        <f t="shared" si="0"/>
        <v>57.50611999999999</v>
      </c>
      <c r="I19">
        <f>I20</f>
        <v>125</v>
      </c>
      <c r="J19">
        <f t="shared" si="7"/>
        <v>125</v>
      </c>
    </row>
    <row r="20" spans="1:11" ht="12.75">
      <c r="A20" t="s">
        <v>81</v>
      </c>
      <c r="B20" t="str">
        <f>B11</f>
        <v>Foam</v>
      </c>
      <c r="C20">
        <f>C11</f>
        <v>0.05</v>
      </c>
      <c r="D20">
        <f>D11</f>
        <v>1640</v>
      </c>
      <c r="E20" t="str">
        <f>E11</f>
        <v>Box</v>
      </c>
      <c r="F20">
        <v>35</v>
      </c>
      <c r="G20">
        <f>F20/D20</f>
        <v>0.021341463414634148</v>
      </c>
      <c r="H20">
        <f t="shared" si="0"/>
        <v>57.188619999999986</v>
      </c>
      <c r="I20">
        <f>120+5</f>
        <v>125</v>
      </c>
      <c r="J20">
        <f t="shared" si="7"/>
        <v>125</v>
      </c>
      <c r="K20">
        <f>0.001*C20*(I20-5)*(I20-5)*F20+4*0.025*I20</f>
        <v>37.7</v>
      </c>
    </row>
    <row r="21" spans="1:10" ht="12.75">
      <c r="A21" t="s">
        <v>6</v>
      </c>
      <c r="F21">
        <f>F10</f>
        <v>0.3175</v>
      </c>
      <c r="H21">
        <f t="shared" si="0"/>
        <v>22.18861999999999</v>
      </c>
      <c r="I21">
        <f>I20</f>
        <v>125</v>
      </c>
      <c r="J21">
        <f t="shared" si="7"/>
        <v>125</v>
      </c>
    </row>
    <row r="22" spans="1:11" ht="12.75">
      <c r="A22" s="1" t="s">
        <v>75</v>
      </c>
      <c r="B22" t="str">
        <f aca="true" t="shared" si="12" ref="B22:G22">B4</f>
        <v>Teflon</v>
      </c>
      <c r="C22">
        <f t="shared" si="12"/>
        <v>2.2</v>
      </c>
      <c r="D22">
        <f t="shared" si="12"/>
        <v>49.3</v>
      </c>
      <c r="E22" t="str">
        <f t="shared" si="12"/>
        <v>Sheet</v>
      </c>
      <c r="F22">
        <f t="shared" si="12"/>
        <v>0.00508</v>
      </c>
      <c r="G22">
        <f t="shared" si="12"/>
        <v>0.0001030425963488844</v>
      </c>
      <c r="H22">
        <f t="shared" si="0"/>
        <v>21.87111999999999</v>
      </c>
      <c r="I22">
        <f>I23</f>
        <v>76</v>
      </c>
      <c r="J22">
        <f t="shared" si="7"/>
        <v>76</v>
      </c>
      <c r="K22">
        <f aca="true" t="shared" si="13" ref="K22:K30">0.001*C22*I22*I22*F22</f>
        <v>0.064552576</v>
      </c>
    </row>
    <row r="23" spans="1:11" ht="12.75">
      <c r="A23" t="s">
        <v>72</v>
      </c>
      <c r="B23" t="str">
        <f>B5</f>
        <v>BC408</v>
      </c>
      <c r="C23">
        <f>C5</f>
        <v>1.032</v>
      </c>
      <c r="D23">
        <f>D5</f>
        <v>79.457</v>
      </c>
      <c r="E23" t="str">
        <f>E5</f>
        <v>Box</v>
      </c>
      <c r="F23">
        <v>1</v>
      </c>
      <c r="G23">
        <f>F23/D23</f>
        <v>0.012585423562429995</v>
      </c>
      <c r="H23">
        <f t="shared" si="0"/>
        <v>21.86603999999999</v>
      </c>
      <c r="I23">
        <f>INT(I45+H23*2*TAN(B142))+1</f>
        <v>76</v>
      </c>
      <c r="J23">
        <f t="shared" si="7"/>
        <v>76</v>
      </c>
      <c r="K23">
        <f t="shared" si="13"/>
        <v>5.960832000000001</v>
      </c>
    </row>
    <row r="24" spans="1:11" ht="12.75">
      <c r="A24" s="1" t="s">
        <v>75</v>
      </c>
      <c r="B24" t="str">
        <f aca="true" t="shared" si="14" ref="B24:G24">B4</f>
        <v>Teflon</v>
      </c>
      <c r="C24">
        <f t="shared" si="14"/>
        <v>2.2</v>
      </c>
      <c r="D24">
        <f t="shared" si="14"/>
        <v>49.3</v>
      </c>
      <c r="E24" t="str">
        <f t="shared" si="14"/>
        <v>Sheet</v>
      </c>
      <c r="F24">
        <f t="shared" si="14"/>
        <v>0.00508</v>
      </c>
      <c r="G24">
        <f t="shared" si="14"/>
        <v>0.0001030425963488844</v>
      </c>
      <c r="H24">
        <f t="shared" si="0"/>
        <v>20.86603999999999</v>
      </c>
      <c r="I24">
        <f>I23</f>
        <v>76</v>
      </c>
      <c r="J24">
        <f t="shared" si="7"/>
        <v>76</v>
      </c>
      <c r="K24">
        <f t="shared" si="13"/>
        <v>0.064552576</v>
      </c>
    </row>
    <row r="25" spans="1:11" ht="12.75">
      <c r="A25" s="1" t="s">
        <v>75</v>
      </c>
      <c r="B25" t="str">
        <f aca="true" t="shared" si="15" ref="B25:G25">B4</f>
        <v>Teflon</v>
      </c>
      <c r="C25">
        <f t="shared" si="15"/>
        <v>2.2</v>
      </c>
      <c r="D25">
        <f t="shared" si="15"/>
        <v>49.3</v>
      </c>
      <c r="E25" t="str">
        <f t="shared" si="15"/>
        <v>Sheet</v>
      </c>
      <c r="F25">
        <f t="shared" si="15"/>
        <v>0.00508</v>
      </c>
      <c r="G25">
        <f t="shared" si="15"/>
        <v>0.0001030425963488844</v>
      </c>
      <c r="H25">
        <f t="shared" si="0"/>
        <v>20.86095999999999</v>
      </c>
      <c r="I25">
        <f>I26</f>
        <v>74.2</v>
      </c>
      <c r="J25">
        <f t="shared" si="7"/>
        <v>74.2</v>
      </c>
      <c r="K25">
        <f t="shared" si="13"/>
        <v>0.06153103264000002</v>
      </c>
    </row>
    <row r="26" spans="1:11" ht="12.75">
      <c r="A26" t="s">
        <v>113</v>
      </c>
      <c r="B26" t="str">
        <f>B5</f>
        <v>BC408</v>
      </c>
      <c r="C26">
        <f>C5</f>
        <v>1.032</v>
      </c>
      <c r="D26">
        <f>D5</f>
        <v>79.457</v>
      </c>
      <c r="E26" t="str">
        <f>E5</f>
        <v>Box</v>
      </c>
      <c r="F26">
        <v>0.2</v>
      </c>
      <c r="G26">
        <f>F26/D26</f>
        <v>0.002517084712485999</v>
      </c>
      <c r="H26">
        <f t="shared" si="0"/>
        <v>20.855879999999992</v>
      </c>
      <c r="I26">
        <f>(INT((I45+H26*2*TAN(B142))/0.2)+1)*0.2</f>
        <v>74.2</v>
      </c>
      <c r="J26">
        <f t="shared" si="7"/>
        <v>74.2</v>
      </c>
      <c r="K26">
        <f t="shared" si="13"/>
        <v>1.1363640960000003</v>
      </c>
    </row>
    <row r="27" spans="1:11" ht="12.75">
      <c r="A27" s="1" t="s">
        <v>75</v>
      </c>
      <c r="B27" t="str">
        <f aca="true" t="shared" si="16" ref="B27:G27">B4</f>
        <v>Teflon</v>
      </c>
      <c r="C27">
        <f t="shared" si="16"/>
        <v>2.2</v>
      </c>
      <c r="D27">
        <f t="shared" si="16"/>
        <v>49.3</v>
      </c>
      <c r="E27" t="str">
        <f t="shared" si="16"/>
        <v>Sheet</v>
      </c>
      <c r="F27">
        <f t="shared" si="16"/>
        <v>0.00508</v>
      </c>
      <c r="G27">
        <f t="shared" si="16"/>
        <v>0.0001030425963488844</v>
      </c>
      <c r="H27">
        <f t="shared" si="0"/>
        <v>20.655879999999993</v>
      </c>
      <c r="I27">
        <f>I26</f>
        <v>74.2</v>
      </c>
      <c r="J27">
        <f t="shared" si="7"/>
        <v>74.2</v>
      </c>
      <c r="K27">
        <f t="shared" si="13"/>
        <v>0.06153103264000002</v>
      </c>
    </row>
    <row r="28" spans="1:11" ht="12.75">
      <c r="A28" s="1" t="s">
        <v>75</v>
      </c>
      <c r="B28" t="str">
        <f aca="true" t="shared" si="17" ref="B28:G28">B4</f>
        <v>Teflon</v>
      </c>
      <c r="C28">
        <f t="shared" si="17"/>
        <v>2.2</v>
      </c>
      <c r="D28">
        <f t="shared" si="17"/>
        <v>49.3</v>
      </c>
      <c r="E28" t="str">
        <f t="shared" si="17"/>
        <v>Sheet</v>
      </c>
      <c r="F28">
        <f t="shared" si="17"/>
        <v>0.00508</v>
      </c>
      <c r="G28">
        <f t="shared" si="17"/>
        <v>0.0001030425963488844</v>
      </c>
      <c r="H28">
        <f t="shared" si="0"/>
        <v>20.650799999999993</v>
      </c>
      <c r="I28">
        <f>I29</f>
        <v>74.2</v>
      </c>
      <c r="J28">
        <f t="shared" si="7"/>
        <v>74.2</v>
      </c>
      <c r="K28">
        <f t="shared" si="13"/>
        <v>0.06153103264000002</v>
      </c>
    </row>
    <row r="29" spans="1:11" ht="12.75">
      <c r="A29" t="s">
        <v>112</v>
      </c>
      <c r="B29" t="str">
        <f>B5</f>
        <v>BC408</v>
      </c>
      <c r="C29">
        <f>C5</f>
        <v>1.032</v>
      </c>
      <c r="D29">
        <f>D5</f>
        <v>79.457</v>
      </c>
      <c r="E29" t="str">
        <f>E5</f>
        <v>Box</v>
      </c>
      <c r="F29">
        <f>F26</f>
        <v>0.2</v>
      </c>
      <c r="G29">
        <f>F29/D29</f>
        <v>0.002517084712485999</v>
      </c>
      <c r="H29">
        <f t="shared" si="0"/>
        <v>20.645719999999994</v>
      </c>
      <c r="I29">
        <f>I26</f>
        <v>74.2</v>
      </c>
      <c r="J29">
        <f t="shared" si="7"/>
        <v>74.2</v>
      </c>
      <c r="K29">
        <f t="shared" si="13"/>
        <v>1.1363640960000003</v>
      </c>
    </row>
    <row r="30" spans="1:11" ht="12.75">
      <c r="A30" s="1" t="s">
        <v>75</v>
      </c>
      <c r="B30" t="str">
        <f aca="true" t="shared" si="18" ref="B30:G30">B4</f>
        <v>Teflon</v>
      </c>
      <c r="C30">
        <f t="shared" si="18"/>
        <v>2.2</v>
      </c>
      <c r="D30">
        <f t="shared" si="18"/>
        <v>49.3</v>
      </c>
      <c r="E30" t="str">
        <f t="shared" si="18"/>
        <v>Sheet</v>
      </c>
      <c r="F30">
        <f t="shared" si="18"/>
        <v>0.00508</v>
      </c>
      <c r="G30">
        <f t="shared" si="18"/>
        <v>0.0001030425963488844</v>
      </c>
      <c r="H30">
        <f t="shared" si="0"/>
        <v>20.445719999999994</v>
      </c>
      <c r="I30">
        <f>I29</f>
        <v>74.2</v>
      </c>
      <c r="J30">
        <f t="shared" si="7"/>
        <v>74.2</v>
      </c>
      <c r="K30">
        <f t="shared" si="13"/>
        <v>0.06153103264000002</v>
      </c>
    </row>
    <row r="31" spans="1:11" ht="12.75">
      <c r="A31" t="s">
        <v>8</v>
      </c>
      <c r="B31" t="s">
        <v>52</v>
      </c>
      <c r="C31">
        <v>2.1</v>
      </c>
      <c r="D31">
        <f>38.1*2.265/C31</f>
        <v>41.09357142857143</v>
      </c>
      <c r="E31" t="s">
        <v>82</v>
      </c>
      <c r="F31">
        <v>9.5</v>
      </c>
      <c r="G31">
        <f>F31/D31</f>
        <v>0.23117971180754723</v>
      </c>
      <c r="H31">
        <f t="shared" si="0"/>
        <v>20.440639999999995</v>
      </c>
      <c r="I31">
        <f>I45+H31*2*TAN(B142)</f>
        <v>73.60281801654307</v>
      </c>
      <c r="J31">
        <f>I32</f>
        <v>62.800000000000004</v>
      </c>
      <c r="K31">
        <f>0.001*C31*(J31*J31*F31+4*J31*(I31-J31)/2*F31*0.5+4*(I31-J31)/2*(I31-J31)/2*F31/3)</f>
        <v>92.9900874129115</v>
      </c>
    </row>
    <row r="32" spans="1:11" ht="12.75">
      <c r="A32" s="1" t="s">
        <v>75</v>
      </c>
      <c r="B32" t="str">
        <f aca="true" t="shared" si="19" ref="B32:G32">B4</f>
        <v>Teflon</v>
      </c>
      <c r="C32">
        <f t="shared" si="19"/>
        <v>2.2</v>
      </c>
      <c r="D32">
        <f t="shared" si="19"/>
        <v>49.3</v>
      </c>
      <c r="E32" t="str">
        <f t="shared" si="19"/>
        <v>Sheet</v>
      </c>
      <c r="F32">
        <f t="shared" si="19"/>
        <v>0.00508</v>
      </c>
      <c r="G32">
        <f t="shared" si="19"/>
        <v>0.0001030425963488844</v>
      </c>
      <c r="H32">
        <f t="shared" si="0"/>
        <v>10.940639999999997</v>
      </c>
      <c r="I32">
        <f>I33</f>
        <v>62.800000000000004</v>
      </c>
      <c r="J32">
        <f aca="true" t="shared" si="20" ref="J32:J37">I32</f>
        <v>62.800000000000004</v>
      </c>
      <c r="K32">
        <f aca="true" t="shared" si="21" ref="K32:K37">0.001*C32*I32*I32*F32</f>
        <v>0.044076355840000005</v>
      </c>
    </row>
    <row r="33" spans="1:11" ht="12.75">
      <c r="A33" t="s">
        <v>56</v>
      </c>
      <c r="B33" t="str">
        <f>B5</f>
        <v>BC408</v>
      </c>
      <c r="C33">
        <f>C5</f>
        <v>1.032</v>
      </c>
      <c r="D33">
        <f>D5</f>
        <v>79.457</v>
      </c>
      <c r="E33" t="str">
        <f>E5</f>
        <v>Box</v>
      </c>
      <c r="F33">
        <f>F26</f>
        <v>0.2</v>
      </c>
      <c r="G33">
        <f>F33/D33</f>
        <v>0.002517084712485999</v>
      </c>
      <c r="H33">
        <f t="shared" si="0"/>
        <v>10.935559999999997</v>
      </c>
      <c r="I33">
        <f>(INT((I45+H33*2*TAN(B142))/0.2)+1)*0.2</f>
        <v>62.800000000000004</v>
      </c>
      <c r="J33">
        <f t="shared" si="20"/>
        <v>62.800000000000004</v>
      </c>
      <c r="K33">
        <f t="shared" si="21"/>
        <v>0.8140085760000002</v>
      </c>
    </row>
    <row r="34" spans="1:11" ht="12.75">
      <c r="A34" s="1" t="s">
        <v>75</v>
      </c>
      <c r="B34" t="str">
        <f aca="true" t="shared" si="22" ref="B34:G34">B4</f>
        <v>Teflon</v>
      </c>
      <c r="C34">
        <f t="shared" si="22"/>
        <v>2.2</v>
      </c>
      <c r="D34">
        <f t="shared" si="22"/>
        <v>49.3</v>
      </c>
      <c r="E34" t="str">
        <f t="shared" si="22"/>
        <v>Sheet</v>
      </c>
      <c r="F34">
        <f t="shared" si="22"/>
        <v>0.00508</v>
      </c>
      <c r="G34">
        <f t="shared" si="22"/>
        <v>0.0001030425963488844</v>
      </c>
      <c r="H34">
        <f t="shared" si="0"/>
        <v>10.735559999999998</v>
      </c>
      <c r="I34">
        <f>I33</f>
        <v>62.800000000000004</v>
      </c>
      <c r="J34">
        <f t="shared" si="20"/>
        <v>62.800000000000004</v>
      </c>
      <c r="K34">
        <f t="shared" si="21"/>
        <v>0.044076355840000005</v>
      </c>
    </row>
    <row r="35" spans="1:11" ht="12.75">
      <c r="A35" s="1" t="s">
        <v>75</v>
      </c>
      <c r="B35" t="str">
        <f aca="true" t="shared" si="23" ref="B35:G35">B4</f>
        <v>Teflon</v>
      </c>
      <c r="C35">
        <f t="shared" si="23"/>
        <v>2.2</v>
      </c>
      <c r="D35">
        <f t="shared" si="23"/>
        <v>49.3</v>
      </c>
      <c r="E35" t="str">
        <f t="shared" si="23"/>
        <v>Sheet</v>
      </c>
      <c r="F35">
        <f t="shared" si="23"/>
        <v>0.00508</v>
      </c>
      <c r="G35">
        <f t="shared" si="23"/>
        <v>0.0001030425963488844</v>
      </c>
      <c r="H35">
        <f t="shared" si="0"/>
        <v>10.730479999999998</v>
      </c>
      <c r="I35">
        <f>I36</f>
        <v>62.800000000000004</v>
      </c>
      <c r="J35">
        <f t="shared" si="20"/>
        <v>62.800000000000004</v>
      </c>
      <c r="K35">
        <f t="shared" si="21"/>
        <v>0.044076355840000005</v>
      </c>
    </row>
    <row r="36" spans="1:11" ht="12.75">
      <c r="A36" t="s">
        <v>57</v>
      </c>
      <c r="B36" t="str">
        <f>B5</f>
        <v>BC408</v>
      </c>
      <c r="C36">
        <f>C5</f>
        <v>1.032</v>
      </c>
      <c r="D36">
        <f>D5</f>
        <v>79.457</v>
      </c>
      <c r="E36" t="str">
        <f>E5</f>
        <v>Box</v>
      </c>
      <c r="F36">
        <f>F26</f>
        <v>0.2</v>
      </c>
      <c r="G36">
        <f>F36/D36</f>
        <v>0.002517084712485999</v>
      </c>
      <c r="H36">
        <f t="shared" si="0"/>
        <v>10.725399999999999</v>
      </c>
      <c r="I36">
        <f>I33</f>
        <v>62.800000000000004</v>
      </c>
      <c r="J36">
        <f t="shared" si="20"/>
        <v>62.800000000000004</v>
      </c>
      <c r="K36">
        <f t="shared" si="21"/>
        <v>0.8140085760000002</v>
      </c>
    </row>
    <row r="37" spans="1:11" ht="12.75">
      <c r="A37" s="1" t="s">
        <v>75</v>
      </c>
      <c r="B37" t="str">
        <f aca="true" t="shared" si="24" ref="B37:G37">B4</f>
        <v>Teflon</v>
      </c>
      <c r="C37">
        <f t="shared" si="24"/>
        <v>2.2</v>
      </c>
      <c r="D37">
        <f t="shared" si="24"/>
        <v>49.3</v>
      </c>
      <c r="E37" t="str">
        <f t="shared" si="24"/>
        <v>Sheet</v>
      </c>
      <c r="F37">
        <f t="shared" si="24"/>
        <v>0.00508</v>
      </c>
      <c r="G37">
        <f t="shared" si="24"/>
        <v>0.0001030425963488844</v>
      </c>
      <c r="H37">
        <f t="shared" si="0"/>
        <v>10.5254</v>
      </c>
      <c r="I37">
        <f>I36</f>
        <v>62.800000000000004</v>
      </c>
      <c r="J37">
        <f t="shared" si="20"/>
        <v>62.800000000000004</v>
      </c>
      <c r="K37">
        <f t="shared" si="21"/>
        <v>0.044076355840000005</v>
      </c>
    </row>
    <row r="38" spans="1:11" ht="12.75">
      <c r="A38" t="s">
        <v>9</v>
      </c>
      <c r="B38" t="str">
        <f>B31</f>
        <v>Graphite</v>
      </c>
      <c r="C38">
        <f>C31</f>
        <v>2.1</v>
      </c>
      <c r="D38">
        <f>D31</f>
        <v>41.09357142857143</v>
      </c>
      <c r="E38" t="str">
        <f>E31</f>
        <v>Trpzoid</v>
      </c>
      <c r="F38">
        <f>F31</f>
        <v>9.5</v>
      </c>
      <c r="G38">
        <f>F38/D38</f>
        <v>0.23117971180754723</v>
      </c>
      <c r="H38">
        <f t="shared" si="0"/>
        <v>10.52032</v>
      </c>
      <c r="I38">
        <f>I45+H38*2*TAN(B142)</f>
        <v>62.14781916984001</v>
      </c>
      <c r="J38">
        <f>I39</f>
        <v>52</v>
      </c>
      <c r="K38">
        <f>0.001*C38*(J38*J38*F38+4*J38*(I38-J38)/2*F38*0.5+4*(I38-J38)/2*(I38-J38)/2*F38/3)</f>
        <v>65.15695286225213</v>
      </c>
    </row>
    <row r="39" spans="1:11" ht="12.75">
      <c r="A39" s="1" t="s">
        <v>75</v>
      </c>
      <c r="B39" t="str">
        <f aca="true" t="shared" si="25" ref="B39:G39">B4</f>
        <v>Teflon</v>
      </c>
      <c r="C39">
        <f t="shared" si="25"/>
        <v>2.2</v>
      </c>
      <c r="D39">
        <f t="shared" si="25"/>
        <v>49.3</v>
      </c>
      <c r="E39" t="str">
        <f t="shared" si="25"/>
        <v>Sheet</v>
      </c>
      <c r="F39">
        <f t="shared" si="25"/>
        <v>0.00508</v>
      </c>
      <c r="G39">
        <f t="shared" si="25"/>
        <v>0.0001030425963488844</v>
      </c>
      <c r="H39">
        <f t="shared" si="0"/>
        <v>1.02032</v>
      </c>
      <c r="I39">
        <f>I40</f>
        <v>52</v>
      </c>
      <c r="J39">
        <f aca="true" t="shared" si="26" ref="J39:J50">I39</f>
        <v>52</v>
      </c>
      <c r="K39">
        <f aca="true" t="shared" si="27" ref="K39:K50">0.001*C39*I39*I39*F39</f>
        <v>0.030219904000000002</v>
      </c>
    </row>
    <row r="40" spans="1:11" ht="12.75">
      <c r="A40" t="s">
        <v>105</v>
      </c>
      <c r="B40" t="str">
        <f>B5</f>
        <v>BC408</v>
      </c>
      <c r="C40">
        <f>C5</f>
        <v>1.032</v>
      </c>
      <c r="D40">
        <f>D5</f>
        <v>79.457</v>
      </c>
      <c r="E40" t="str">
        <f>E5</f>
        <v>Box</v>
      </c>
      <c r="F40">
        <v>0.5</v>
      </c>
      <c r="G40">
        <f>F40/D40</f>
        <v>0.0062927117812149975</v>
      </c>
      <c r="H40">
        <f t="shared" si="0"/>
        <v>1.01524</v>
      </c>
      <c r="I40">
        <f>INT((I45+H40*2*TAN(B142))+1)</f>
        <v>52</v>
      </c>
      <c r="J40">
        <f t="shared" si="26"/>
        <v>52</v>
      </c>
      <c r="K40">
        <f t="shared" si="27"/>
        <v>1.3952640000000003</v>
      </c>
    </row>
    <row r="41" spans="1:11" ht="12.75">
      <c r="A41" s="1" t="s">
        <v>75</v>
      </c>
      <c r="B41" t="str">
        <f aca="true" t="shared" si="28" ref="B41:G41">B4</f>
        <v>Teflon</v>
      </c>
      <c r="C41">
        <f t="shared" si="28"/>
        <v>2.2</v>
      </c>
      <c r="D41">
        <f t="shared" si="28"/>
        <v>49.3</v>
      </c>
      <c r="E41" t="str">
        <f t="shared" si="28"/>
        <v>Sheet</v>
      </c>
      <c r="F41">
        <f t="shared" si="28"/>
        <v>0.00508</v>
      </c>
      <c r="G41">
        <f t="shared" si="28"/>
        <v>0.0001030425963488844</v>
      </c>
      <c r="H41">
        <f t="shared" si="0"/>
        <v>0.5152399999999999</v>
      </c>
      <c r="I41">
        <f>I40</f>
        <v>52</v>
      </c>
      <c r="J41">
        <f t="shared" si="26"/>
        <v>52</v>
      </c>
      <c r="K41">
        <f t="shared" si="27"/>
        <v>0.030219904000000002</v>
      </c>
    </row>
    <row r="42" spans="1:11" ht="12.75">
      <c r="A42" s="1" t="s">
        <v>75</v>
      </c>
      <c r="B42" t="str">
        <f aca="true" t="shared" si="29" ref="B42:G42">B4</f>
        <v>Teflon</v>
      </c>
      <c r="C42">
        <f t="shared" si="29"/>
        <v>2.2</v>
      </c>
      <c r="D42">
        <f t="shared" si="29"/>
        <v>49.3</v>
      </c>
      <c r="E42" t="str">
        <f t="shared" si="29"/>
        <v>Sheet</v>
      </c>
      <c r="F42">
        <f t="shared" si="29"/>
        <v>0.00508</v>
      </c>
      <c r="G42">
        <f t="shared" si="29"/>
        <v>0.0001030425963488844</v>
      </c>
      <c r="H42">
        <f t="shared" si="0"/>
        <v>0.51016</v>
      </c>
      <c r="I42">
        <f>I43</f>
        <v>52</v>
      </c>
      <c r="J42">
        <f t="shared" si="26"/>
        <v>52</v>
      </c>
      <c r="K42">
        <f t="shared" si="27"/>
        <v>0.030219904000000002</v>
      </c>
    </row>
    <row r="43" spans="1:11" ht="12.75">
      <c r="A43" t="s">
        <v>104</v>
      </c>
      <c r="B43" t="str">
        <f>B5</f>
        <v>BC408</v>
      </c>
      <c r="C43">
        <f>C5</f>
        <v>1.032</v>
      </c>
      <c r="D43">
        <f>D5</f>
        <v>79.457</v>
      </c>
      <c r="E43" t="str">
        <f>E5</f>
        <v>Box</v>
      </c>
      <c r="F43">
        <v>0.5</v>
      </c>
      <c r="G43">
        <f>F43/D43</f>
        <v>0.0062927117812149975</v>
      </c>
      <c r="H43">
        <f t="shared" si="0"/>
        <v>0.50508</v>
      </c>
      <c r="I43">
        <f>I40</f>
        <v>52</v>
      </c>
      <c r="J43">
        <f t="shared" si="26"/>
        <v>52</v>
      </c>
      <c r="K43">
        <f t="shared" si="27"/>
        <v>1.3952640000000003</v>
      </c>
    </row>
    <row r="44" spans="1:11" ht="12.75">
      <c r="A44" s="1" t="s">
        <v>75</v>
      </c>
      <c r="B44" t="str">
        <f aca="true" t="shared" si="30" ref="B44:G44">B4</f>
        <v>Teflon</v>
      </c>
      <c r="C44">
        <f t="shared" si="30"/>
        <v>2.2</v>
      </c>
      <c r="D44">
        <f t="shared" si="30"/>
        <v>49.3</v>
      </c>
      <c r="E44" t="str">
        <f t="shared" si="30"/>
        <v>Sheet</v>
      </c>
      <c r="F44">
        <f t="shared" si="30"/>
        <v>0.00508</v>
      </c>
      <c r="G44">
        <f t="shared" si="30"/>
        <v>0.0001030425963488844</v>
      </c>
      <c r="H44">
        <f t="shared" si="0"/>
        <v>0.00508</v>
      </c>
      <c r="I44">
        <f>I43</f>
        <v>52</v>
      </c>
      <c r="J44">
        <f t="shared" si="26"/>
        <v>52</v>
      </c>
      <c r="K44">
        <f t="shared" si="27"/>
        <v>0.030219904000000002</v>
      </c>
    </row>
    <row r="45" spans="1:11" ht="12.75">
      <c r="A45" t="s">
        <v>12</v>
      </c>
      <c r="B45" t="s">
        <v>53</v>
      </c>
      <c r="C45">
        <v>19.3</v>
      </c>
      <c r="D45">
        <v>9.585</v>
      </c>
      <c r="E45" t="s">
        <v>54</v>
      </c>
      <c r="F45">
        <v>0.35</v>
      </c>
      <c r="G45">
        <f>F45/D45</f>
        <v>0.03651538862806468</v>
      </c>
      <c r="H45">
        <v>0</v>
      </c>
      <c r="I45" s="9">
        <v>50</v>
      </c>
      <c r="J45">
        <f t="shared" si="26"/>
        <v>50</v>
      </c>
      <c r="K45">
        <f>0.001*C45*I45*I45*F45</f>
        <v>16.887500000000003</v>
      </c>
    </row>
    <row r="46" spans="1:11" ht="12.75">
      <c r="A46" s="1" t="s">
        <v>75</v>
      </c>
      <c r="B46" t="str">
        <f aca="true" t="shared" si="31" ref="B46:G46">B4</f>
        <v>Teflon</v>
      </c>
      <c r="C46">
        <f t="shared" si="31"/>
        <v>2.2</v>
      </c>
      <c r="D46">
        <f t="shared" si="31"/>
        <v>49.3</v>
      </c>
      <c r="E46" t="str">
        <f t="shared" si="31"/>
        <v>Sheet</v>
      </c>
      <c r="F46">
        <f t="shared" si="31"/>
        <v>0.00508</v>
      </c>
      <c r="G46">
        <f t="shared" si="31"/>
        <v>0.0001030425963488844</v>
      </c>
      <c r="H46">
        <f>H45-F45</f>
        <v>-0.35</v>
      </c>
      <c r="I46">
        <f>I47</f>
        <v>50</v>
      </c>
      <c r="J46">
        <f t="shared" si="26"/>
        <v>50</v>
      </c>
      <c r="K46">
        <f t="shared" si="27"/>
        <v>0.027940000000000003</v>
      </c>
    </row>
    <row r="47" spans="1:11" ht="12.75">
      <c r="A47" t="s">
        <v>10</v>
      </c>
      <c r="B47" t="str">
        <f>B5</f>
        <v>BC408</v>
      </c>
      <c r="C47">
        <f>C5</f>
        <v>1.032</v>
      </c>
      <c r="D47">
        <f>D5</f>
        <v>79.457</v>
      </c>
      <c r="E47" t="str">
        <f>E5</f>
        <v>Box</v>
      </c>
      <c r="F47">
        <v>0.05</v>
      </c>
      <c r="G47">
        <f>F47/D47</f>
        <v>0.0006292711781214998</v>
      </c>
      <c r="H47">
        <f>H46-F46</f>
        <v>-0.35507999999999995</v>
      </c>
      <c r="I47">
        <f>I45</f>
        <v>50</v>
      </c>
      <c r="J47">
        <f t="shared" si="26"/>
        <v>50</v>
      </c>
      <c r="K47">
        <f t="shared" si="27"/>
        <v>0.12900000000000003</v>
      </c>
    </row>
    <row r="48" spans="1:11" ht="12.75">
      <c r="A48" s="1" t="s">
        <v>75</v>
      </c>
      <c r="B48" t="str">
        <f aca="true" t="shared" si="32" ref="B48:G48">B4</f>
        <v>Teflon</v>
      </c>
      <c r="C48">
        <f t="shared" si="32"/>
        <v>2.2</v>
      </c>
      <c r="D48">
        <f t="shared" si="32"/>
        <v>49.3</v>
      </c>
      <c r="E48" t="str">
        <f t="shared" si="32"/>
        <v>Sheet</v>
      </c>
      <c r="F48">
        <f t="shared" si="32"/>
        <v>0.00508</v>
      </c>
      <c r="G48">
        <f t="shared" si="32"/>
        <v>0.0001030425963488844</v>
      </c>
      <c r="H48">
        <f>H47-F47</f>
        <v>-0.40507999999999994</v>
      </c>
      <c r="I48">
        <f>I47</f>
        <v>50</v>
      </c>
      <c r="J48">
        <f t="shared" si="26"/>
        <v>50</v>
      </c>
      <c r="K48">
        <f t="shared" si="27"/>
        <v>0.027940000000000003</v>
      </c>
    </row>
    <row r="49" spans="1:11" ht="12.75">
      <c r="A49" t="s">
        <v>13</v>
      </c>
      <c r="B49" t="str">
        <f>B45</f>
        <v>Tungsten</v>
      </c>
      <c r="C49">
        <f>C45</f>
        <v>19.3</v>
      </c>
      <c r="D49">
        <f>D45</f>
        <v>9.585</v>
      </c>
      <c r="E49" t="str">
        <f>E45</f>
        <v>Box</v>
      </c>
      <c r="F49">
        <f>F45</f>
        <v>0.35</v>
      </c>
      <c r="G49">
        <f>F49/D49</f>
        <v>0.03651538862806468</v>
      </c>
      <c r="H49">
        <f>H48-F48</f>
        <v>-0.4101599999999999</v>
      </c>
      <c r="I49">
        <f>I45</f>
        <v>50</v>
      </c>
      <c r="J49">
        <f t="shared" si="26"/>
        <v>50</v>
      </c>
      <c r="K49">
        <f t="shared" si="27"/>
        <v>16.887500000000003</v>
      </c>
    </row>
    <row r="50" spans="1:11" ht="12.75">
      <c r="A50" s="1" t="s">
        <v>75</v>
      </c>
      <c r="B50" t="str">
        <f aca="true" t="shared" si="33" ref="B50:G50">B4</f>
        <v>Teflon</v>
      </c>
      <c r="C50">
        <f t="shared" si="33"/>
        <v>2.2</v>
      </c>
      <c r="D50">
        <f t="shared" si="33"/>
        <v>49.3</v>
      </c>
      <c r="E50" t="str">
        <f t="shared" si="33"/>
        <v>Sheet</v>
      </c>
      <c r="F50">
        <f t="shared" si="33"/>
        <v>0.00508</v>
      </c>
      <c r="G50">
        <f t="shared" si="33"/>
        <v>0.0001030425963488844</v>
      </c>
      <c r="H50">
        <f>H49-F49</f>
        <v>-0.76016</v>
      </c>
      <c r="I50">
        <f>I54</f>
        <v>50</v>
      </c>
      <c r="J50">
        <f t="shared" si="26"/>
        <v>50</v>
      </c>
      <c r="K50">
        <f t="shared" si="27"/>
        <v>0.027940000000000003</v>
      </c>
    </row>
    <row r="51" spans="1:11" ht="12.75">
      <c r="A51" s="6" t="s">
        <v>0</v>
      </c>
      <c r="B51" s="6" t="s">
        <v>1</v>
      </c>
      <c r="C51" s="7" t="s">
        <v>68</v>
      </c>
      <c r="D51" s="7" t="s">
        <v>70</v>
      </c>
      <c r="E51" s="6" t="s">
        <v>2</v>
      </c>
      <c r="F51" s="37" t="s">
        <v>3</v>
      </c>
      <c r="G51" s="37"/>
      <c r="H51" s="6" t="s">
        <v>5</v>
      </c>
      <c r="I51" s="6" t="s">
        <v>90</v>
      </c>
      <c r="J51" s="6" t="s">
        <v>89</v>
      </c>
      <c r="K51" s="8" t="s">
        <v>55</v>
      </c>
    </row>
    <row r="52" spans="1:11" ht="12.75">
      <c r="A52" s="6"/>
      <c r="B52" s="6"/>
      <c r="C52" s="6" t="s">
        <v>69</v>
      </c>
      <c r="D52" s="6" t="s">
        <v>4</v>
      </c>
      <c r="E52" s="6"/>
      <c r="F52" s="6" t="s">
        <v>4</v>
      </c>
      <c r="G52" s="7" t="s">
        <v>70</v>
      </c>
      <c r="H52" s="6" t="s">
        <v>4</v>
      </c>
      <c r="I52" s="6" t="s">
        <v>4</v>
      </c>
      <c r="J52" s="6" t="s">
        <v>4</v>
      </c>
      <c r="K52" s="8" t="s">
        <v>71</v>
      </c>
    </row>
    <row r="53" spans="1:11" ht="12.75">
      <c r="A53" s="6"/>
      <c r="B53" s="6"/>
      <c r="C53" s="6"/>
      <c r="D53" s="6"/>
      <c r="E53" s="6"/>
      <c r="F53" s="6"/>
      <c r="G53" s="7"/>
      <c r="H53" s="6"/>
      <c r="I53" s="6"/>
      <c r="J53" s="6"/>
      <c r="K53" s="8"/>
    </row>
    <row r="54" spans="1:11" ht="12.75">
      <c r="A54" t="s">
        <v>11</v>
      </c>
      <c r="B54" t="str">
        <f>B47</f>
        <v>BC408</v>
      </c>
      <c r="C54">
        <f>C47</f>
        <v>1.032</v>
      </c>
      <c r="D54">
        <f>D47</f>
        <v>79.457</v>
      </c>
      <c r="E54" t="str">
        <f>E47</f>
        <v>Box</v>
      </c>
      <c r="F54">
        <f>F47</f>
        <v>0.05</v>
      </c>
      <c r="G54">
        <f>F54/D54</f>
        <v>0.0006292711781214998</v>
      </c>
      <c r="H54">
        <f>H50-F50</f>
        <v>-0.7652399999999999</v>
      </c>
      <c r="I54">
        <f>I47</f>
        <v>50</v>
      </c>
      <c r="J54">
        <f aca="true" t="shared" si="34" ref="J54:J100">I54</f>
        <v>50</v>
      </c>
      <c r="K54">
        <f aca="true" t="shared" si="35" ref="K54:K100">0.001*C54*I54*I54*F54</f>
        <v>0.12900000000000003</v>
      </c>
    </row>
    <row r="55" spans="1:11" ht="12.75">
      <c r="A55" s="1" t="s">
        <v>75</v>
      </c>
      <c r="B55" t="str">
        <f aca="true" t="shared" si="36" ref="B55:G55">B4</f>
        <v>Teflon</v>
      </c>
      <c r="C55">
        <f t="shared" si="36"/>
        <v>2.2</v>
      </c>
      <c r="D55">
        <f t="shared" si="36"/>
        <v>49.3</v>
      </c>
      <c r="E55" t="str">
        <f t="shared" si="36"/>
        <v>Sheet</v>
      </c>
      <c r="F55">
        <f t="shared" si="36"/>
        <v>0.00508</v>
      </c>
      <c r="G55">
        <f t="shared" si="36"/>
        <v>0.0001030425963488844</v>
      </c>
      <c r="H55">
        <f aca="true" t="shared" si="37" ref="H55:H100">H54-F54</f>
        <v>-0.81524</v>
      </c>
      <c r="I55">
        <f>I54</f>
        <v>50</v>
      </c>
      <c r="J55">
        <f t="shared" si="34"/>
        <v>50</v>
      </c>
      <c r="K55">
        <f t="shared" si="35"/>
        <v>0.027940000000000003</v>
      </c>
    </row>
    <row r="56" spans="1:11" ht="12.75">
      <c r="A56" t="s">
        <v>14</v>
      </c>
      <c r="B56" t="str">
        <f>B45</f>
        <v>Tungsten</v>
      </c>
      <c r="C56">
        <f>C45</f>
        <v>19.3</v>
      </c>
      <c r="D56">
        <f>D45</f>
        <v>9.585</v>
      </c>
      <c r="E56" t="str">
        <f>E45</f>
        <v>Box</v>
      </c>
      <c r="F56">
        <f>F45</f>
        <v>0.35</v>
      </c>
      <c r="G56">
        <f>F56/D56</f>
        <v>0.03651538862806468</v>
      </c>
      <c r="H56">
        <f t="shared" si="37"/>
        <v>-0.8203199999999999</v>
      </c>
      <c r="I56">
        <f>I45</f>
        <v>50</v>
      </c>
      <c r="J56">
        <f t="shared" si="34"/>
        <v>50</v>
      </c>
      <c r="K56">
        <f t="shared" si="35"/>
        <v>16.887500000000003</v>
      </c>
    </row>
    <row r="57" spans="1:11" ht="12.75">
      <c r="A57" s="1" t="s">
        <v>75</v>
      </c>
      <c r="B57" t="str">
        <f aca="true" t="shared" si="38" ref="B57:G57">B4</f>
        <v>Teflon</v>
      </c>
      <c r="C57">
        <f t="shared" si="38"/>
        <v>2.2</v>
      </c>
      <c r="D57">
        <f t="shared" si="38"/>
        <v>49.3</v>
      </c>
      <c r="E57" t="str">
        <f t="shared" si="38"/>
        <v>Sheet</v>
      </c>
      <c r="F57">
        <f t="shared" si="38"/>
        <v>0.00508</v>
      </c>
      <c r="G57">
        <f t="shared" si="38"/>
        <v>0.0001030425963488844</v>
      </c>
      <c r="H57">
        <f t="shared" si="37"/>
        <v>-1.1703199999999998</v>
      </c>
      <c r="I57">
        <f>I58</f>
        <v>50</v>
      </c>
      <c r="J57">
        <f t="shared" si="34"/>
        <v>50</v>
      </c>
      <c r="K57">
        <f t="shared" si="35"/>
        <v>0.027940000000000003</v>
      </c>
    </row>
    <row r="58" spans="1:11" ht="12.75">
      <c r="A58" t="s">
        <v>15</v>
      </c>
      <c r="B58" t="str">
        <f>B47</f>
        <v>BC408</v>
      </c>
      <c r="C58">
        <f>C47</f>
        <v>1.032</v>
      </c>
      <c r="D58">
        <f>D47</f>
        <v>79.457</v>
      </c>
      <c r="E58" t="str">
        <f>E47</f>
        <v>Box</v>
      </c>
      <c r="F58">
        <f>F47</f>
        <v>0.05</v>
      </c>
      <c r="G58">
        <f>F58/D58</f>
        <v>0.0006292711781214998</v>
      </c>
      <c r="H58">
        <f t="shared" si="37"/>
        <v>-1.1753999999999998</v>
      </c>
      <c r="I58">
        <f>I47</f>
        <v>50</v>
      </c>
      <c r="J58">
        <f t="shared" si="34"/>
        <v>50</v>
      </c>
      <c r="K58">
        <f t="shared" si="35"/>
        <v>0.12900000000000003</v>
      </c>
    </row>
    <row r="59" spans="1:11" ht="12.75">
      <c r="A59" s="1" t="s">
        <v>75</v>
      </c>
      <c r="B59" t="str">
        <f aca="true" t="shared" si="39" ref="B59:G59">B4</f>
        <v>Teflon</v>
      </c>
      <c r="C59">
        <f t="shared" si="39"/>
        <v>2.2</v>
      </c>
      <c r="D59">
        <f t="shared" si="39"/>
        <v>49.3</v>
      </c>
      <c r="E59" t="str">
        <f t="shared" si="39"/>
        <v>Sheet</v>
      </c>
      <c r="F59">
        <f t="shared" si="39"/>
        <v>0.00508</v>
      </c>
      <c r="G59">
        <f t="shared" si="39"/>
        <v>0.0001030425963488844</v>
      </c>
      <c r="H59">
        <f t="shared" si="37"/>
        <v>-1.2253999999999998</v>
      </c>
      <c r="I59">
        <f>I58</f>
        <v>50</v>
      </c>
      <c r="J59">
        <f t="shared" si="34"/>
        <v>50</v>
      </c>
      <c r="K59">
        <f t="shared" si="35"/>
        <v>0.027940000000000003</v>
      </c>
    </row>
    <row r="60" spans="1:11" ht="12.75">
      <c r="A60" t="s">
        <v>16</v>
      </c>
      <c r="B60" t="str">
        <f>B45</f>
        <v>Tungsten</v>
      </c>
      <c r="C60">
        <f>C45</f>
        <v>19.3</v>
      </c>
      <c r="D60">
        <f>D45</f>
        <v>9.585</v>
      </c>
      <c r="E60" t="str">
        <f>E45</f>
        <v>Box</v>
      </c>
      <c r="F60">
        <f>F45</f>
        <v>0.35</v>
      </c>
      <c r="G60">
        <f>F60/D60</f>
        <v>0.03651538862806468</v>
      </c>
      <c r="H60">
        <f t="shared" si="37"/>
        <v>-1.2304799999999998</v>
      </c>
      <c r="I60">
        <f>I45</f>
        <v>50</v>
      </c>
      <c r="J60">
        <f t="shared" si="34"/>
        <v>50</v>
      </c>
      <c r="K60">
        <f t="shared" si="35"/>
        <v>16.887500000000003</v>
      </c>
    </row>
    <row r="61" spans="1:11" ht="12.75">
      <c r="A61" s="1" t="s">
        <v>75</v>
      </c>
      <c r="B61" t="str">
        <f aca="true" t="shared" si="40" ref="B61:G61">B4</f>
        <v>Teflon</v>
      </c>
      <c r="C61">
        <f t="shared" si="40"/>
        <v>2.2</v>
      </c>
      <c r="D61">
        <f t="shared" si="40"/>
        <v>49.3</v>
      </c>
      <c r="E61" t="str">
        <f t="shared" si="40"/>
        <v>Sheet</v>
      </c>
      <c r="F61">
        <f t="shared" si="40"/>
        <v>0.00508</v>
      </c>
      <c r="G61">
        <f t="shared" si="40"/>
        <v>0.0001030425963488844</v>
      </c>
      <c r="H61">
        <f t="shared" si="37"/>
        <v>-1.5804799999999997</v>
      </c>
      <c r="I61">
        <f>I62</f>
        <v>50</v>
      </c>
      <c r="J61">
        <f t="shared" si="34"/>
        <v>50</v>
      </c>
      <c r="K61">
        <f t="shared" si="35"/>
        <v>0.027940000000000003</v>
      </c>
    </row>
    <row r="62" spans="1:11" ht="12.75">
      <c r="A62" t="s">
        <v>17</v>
      </c>
      <c r="B62" t="str">
        <f>B47</f>
        <v>BC408</v>
      </c>
      <c r="C62">
        <f>C47</f>
        <v>1.032</v>
      </c>
      <c r="D62">
        <f>D47</f>
        <v>79.457</v>
      </c>
      <c r="E62" t="str">
        <f>E47</f>
        <v>Box</v>
      </c>
      <c r="F62">
        <f>F47</f>
        <v>0.05</v>
      </c>
      <c r="G62">
        <f>F62/D62</f>
        <v>0.0006292711781214998</v>
      </c>
      <c r="H62">
        <f t="shared" si="37"/>
        <v>-1.5855599999999996</v>
      </c>
      <c r="I62">
        <f>I47</f>
        <v>50</v>
      </c>
      <c r="J62">
        <f t="shared" si="34"/>
        <v>50</v>
      </c>
      <c r="K62">
        <f t="shared" si="35"/>
        <v>0.12900000000000003</v>
      </c>
    </row>
    <row r="63" spans="1:11" ht="12.75">
      <c r="A63" s="1" t="s">
        <v>75</v>
      </c>
      <c r="B63" t="str">
        <f aca="true" t="shared" si="41" ref="B63:G63">B4</f>
        <v>Teflon</v>
      </c>
      <c r="C63">
        <f t="shared" si="41"/>
        <v>2.2</v>
      </c>
      <c r="D63">
        <f t="shared" si="41"/>
        <v>49.3</v>
      </c>
      <c r="E63" t="str">
        <f t="shared" si="41"/>
        <v>Sheet</v>
      </c>
      <c r="F63">
        <f t="shared" si="41"/>
        <v>0.00508</v>
      </c>
      <c r="G63">
        <f t="shared" si="41"/>
        <v>0.0001030425963488844</v>
      </c>
      <c r="H63">
        <f t="shared" si="37"/>
        <v>-1.6355599999999997</v>
      </c>
      <c r="I63">
        <f>I62</f>
        <v>50</v>
      </c>
      <c r="J63">
        <f t="shared" si="34"/>
        <v>50</v>
      </c>
      <c r="K63">
        <f t="shared" si="35"/>
        <v>0.027940000000000003</v>
      </c>
    </row>
    <row r="64" spans="1:11" ht="12.75">
      <c r="A64" t="s">
        <v>18</v>
      </c>
      <c r="B64" t="str">
        <f>B45</f>
        <v>Tungsten</v>
      </c>
      <c r="C64">
        <f>C45</f>
        <v>19.3</v>
      </c>
      <c r="D64">
        <f>D45</f>
        <v>9.585</v>
      </c>
      <c r="E64" t="str">
        <f>E45</f>
        <v>Box</v>
      </c>
      <c r="F64">
        <f>F45</f>
        <v>0.35</v>
      </c>
      <c r="G64">
        <f>F64/D64</f>
        <v>0.03651538862806468</v>
      </c>
      <c r="H64">
        <f t="shared" si="37"/>
        <v>-1.6406399999999997</v>
      </c>
      <c r="I64">
        <f>I45</f>
        <v>50</v>
      </c>
      <c r="J64">
        <f t="shared" si="34"/>
        <v>50</v>
      </c>
      <c r="K64">
        <f t="shared" si="35"/>
        <v>16.887500000000003</v>
      </c>
    </row>
    <row r="65" spans="1:11" ht="12.75">
      <c r="A65" s="1" t="s">
        <v>75</v>
      </c>
      <c r="B65" t="str">
        <f aca="true" t="shared" si="42" ref="B65:G65">B4</f>
        <v>Teflon</v>
      </c>
      <c r="C65">
        <f t="shared" si="42"/>
        <v>2.2</v>
      </c>
      <c r="D65">
        <f t="shared" si="42"/>
        <v>49.3</v>
      </c>
      <c r="E65" t="str">
        <f t="shared" si="42"/>
        <v>Sheet</v>
      </c>
      <c r="F65">
        <f t="shared" si="42"/>
        <v>0.00508</v>
      </c>
      <c r="G65">
        <f t="shared" si="42"/>
        <v>0.0001030425963488844</v>
      </c>
      <c r="H65">
        <f t="shared" si="37"/>
        <v>-1.9906399999999995</v>
      </c>
      <c r="I65">
        <f>I66</f>
        <v>50</v>
      </c>
      <c r="J65">
        <f t="shared" si="34"/>
        <v>50</v>
      </c>
      <c r="K65">
        <f t="shared" si="35"/>
        <v>0.027940000000000003</v>
      </c>
    </row>
    <row r="66" spans="1:11" ht="12.75">
      <c r="A66" t="s">
        <v>19</v>
      </c>
      <c r="B66" t="str">
        <f>B47</f>
        <v>BC408</v>
      </c>
      <c r="C66">
        <f>C47</f>
        <v>1.032</v>
      </c>
      <c r="D66">
        <f>D47</f>
        <v>79.457</v>
      </c>
      <c r="E66" t="str">
        <f>E47</f>
        <v>Box</v>
      </c>
      <c r="F66">
        <f>F47</f>
        <v>0.05</v>
      </c>
      <c r="G66">
        <f>F66/D66</f>
        <v>0.0006292711781214998</v>
      </c>
      <c r="H66">
        <f t="shared" si="37"/>
        <v>-1.9957199999999995</v>
      </c>
      <c r="I66">
        <f>I47</f>
        <v>50</v>
      </c>
      <c r="J66">
        <f t="shared" si="34"/>
        <v>50</v>
      </c>
      <c r="K66">
        <f t="shared" si="35"/>
        <v>0.12900000000000003</v>
      </c>
    </row>
    <row r="67" spans="1:11" ht="12.75">
      <c r="A67" s="1" t="s">
        <v>75</v>
      </c>
      <c r="B67" t="str">
        <f aca="true" t="shared" si="43" ref="B67:G67">B4</f>
        <v>Teflon</v>
      </c>
      <c r="C67">
        <f t="shared" si="43"/>
        <v>2.2</v>
      </c>
      <c r="D67">
        <f t="shared" si="43"/>
        <v>49.3</v>
      </c>
      <c r="E67" t="str">
        <f t="shared" si="43"/>
        <v>Sheet</v>
      </c>
      <c r="F67">
        <f t="shared" si="43"/>
        <v>0.00508</v>
      </c>
      <c r="G67">
        <f t="shared" si="43"/>
        <v>0.0001030425963488844</v>
      </c>
      <c r="H67">
        <f t="shared" si="37"/>
        <v>-2.0457199999999993</v>
      </c>
      <c r="I67">
        <f>I66</f>
        <v>50</v>
      </c>
      <c r="J67">
        <f t="shared" si="34"/>
        <v>50</v>
      </c>
      <c r="K67">
        <f t="shared" si="35"/>
        <v>0.027940000000000003</v>
      </c>
    </row>
    <row r="68" spans="1:11" ht="12.75">
      <c r="A68" t="s">
        <v>20</v>
      </c>
      <c r="B68" t="str">
        <f>B45</f>
        <v>Tungsten</v>
      </c>
      <c r="C68">
        <f>C45</f>
        <v>19.3</v>
      </c>
      <c r="D68">
        <f>D45</f>
        <v>9.585</v>
      </c>
      <c r="E68" t="str">
        <f>E45</f>
        <v>Box</v>
      </c>
      <c r="F68">
        <f>F45</f>
        <v>0.35</v>
      </c>
      <c r="G68">
        <f>F68/D68</f>
        <v>0.03651538862806468</v>
      </c>
      <c r="H68">
        <f t="shared" si="37"/>
        <v>-2.0507999999999993</v>
      </c>
      <c r="I68">
        <f>I45</f>
        <v>50</v>
      </c>
      <c r="J68">
        <f t="shared" si="34"/>
        <v>50</v>
      </c>
      <c r="K68">
        <f t="shared" si="35"/>
        <v>16.887500000000003</v>
      </c>
    </row>
    <row r="69" spans="1:11" ht="12.75">
      <c r="A69" s="1" t="s">
        <v>75</v>
      </c>
      <c r="B69" t="str">
        <f aca="true" t="shared" si="44" ref="B69:G69">B4</f>
        <v>Teflon</v>
      </c>
      <c r="C69">
        <f t="shared" si="44"/>
        <v>2.2</v>
      </c>
      <c r="D69">
        <f t="shared" si="44"/>
        <v>49.3</v>
      </c>
      <c r="E69" t="str">
        <f t="shared" si="44"/>
        <v>Sheet</v>
      </c>
      <c r="F69">
        <f t="shared" si="44"/>
        <v>0.00508</v>
      </c>
      <c r="G69">
        <f t="shared" si="44"/>
        <v>0.0001030425963488844</v>
      </c>
      <c r="H69">
        <f t="shared" si="37"/>
        <v>-2.4007999999999994</v>
      </c>
      <c r="I69">
        <f>I70</f>
        <v>50</v>
      </c>
      <c r="J69">
        <f t="shared" si="34"/>
        <v>50</v>
      </c>
      <c r="K69">
        <f t="shared" si="35"/>
        <v>0.027940000000000003</v>
      </c>
    </row>
    <row r="70" spans="1:11" ht="12.75">
      <c r="A70" t="s">
        <v>21</v>
      </c>
      <c r="B70" t="str">
        <f>B47</f>
        <v>BC408</v>
      </c>
      <c r="C70">
        <f>C47</f>
        <v>1.032</v>
      </c>
      <c r="D70">
        <f>D47</f>
        <v>79.457</v>
      </c>
      <c r="E70" t="str">
        <f>E47</f>
        <v>Box</v>
      </c>
      <c r="F70">
        <f>F47</f>
        <v>0.05</v>
      </c>
      <c r="G70">
        <f>F70/D70</f>
        <v>0.0006292711781214998</v>
      </c>
      <c r="H70">
        <f t="shared" si="37"/>
        <v>-2.4058799999999994</v>
      </c>
      <c r="I70">
        <f>I47</f>
        <v>50</v>
      </c>
      <c r="J70">
        <f t="shared" si="34"/>
        <v>50</v>
      </c>
      <c r="K70">
        <f t="shared" si="35"/>
        <v>0.12900000000000003</v>
      </c>
    </row>
    <row r="71" spans="1:11" ht="12.75">
      <c r="A71" s="1" t="s">
        <v>75</v>
      </c>
      <c r="B71" t="str">
        <f aca="true" t="shared" si="45" ref="B71:G71">B4</f>
        <v>Teflon</v>
      </c>
      <c r="C71">
        <f t="shared" si="45"/>
        <v>2.2</v>
      </c>
      <c r="D71">
        <f t="shared" si="45"/>
        <v>49.3</v>
      </c>
      <c r="E71" t="str">
        <f t="shared" si="45"/>
        <v>Sheet</v>
      </c>
      <c r="F71">
        <f t="shared" si="45"/>
        <v>0.00508</v>
      </c>
      <c r="G71">
        <f t="shared" si="45"/>
        <v>0.0001030425963488844</v>
      </c>
      <c r="H71">
        <f t="shared" si="37"/>
        <v>-2.455879999999999</v>
      </c>
      <c r="I71">
        <f>I70</f>
        <v>50</v>
      </c>
      <c r="J71">
        <f t="shared" si="34"/>
        <v>50</v>
      </c>
      <c r="K71">
        <f t="shared" si="35"/>
        <v>0.027940000000000003</v>
      </c>
    </row>
    <row r="72" spans="1:11" ht="12.75">
      <c r="A72" t="s">
        <v>22</v>
      </c>
      <c r="B72" t="str">
        <f>B45</f>
        <v>Tungsten</v>
      </c>
      <c r="C72">
        <f>C45</f>
        <v>19.3</v>
      </c>
      <c r="D72">
        <f>D45</f>
        <v>9.585</v>
      </c>
      <c r="E72" t="str">
        <f>E45</f>
        <v>Box</v>
      </c>
      <c r="F72">
        <f>F45</f>
        <v>0.35</v>
      </c>
      <c r="G72">
        <f>F72/D72</f>
        <v>0.03651538862806468</v>
      </c>
      <c r="H72">
        <f t="shared" si="37"/>
        <v>-2.460959999999999</v>
      </c>
      <c r="I72">
        <f>I45</f>
        <v>50</v>
      </c>
      <c r="J72">
        <f t="shared" si="34"/>
        <v>50</v>
      </c>
      <c r="K72">
        <f t="shared" si="35"/>
        <v>16.887500000000003</v>
      </c>
    </row>
    <row r="73" spans="1:11" ht="12.75">
      <c r="A73" s="1" t="s">
        <v>75</v>
      </c>
      <c r="B73" t="str">
        <f aca="true" t="shared" si="46" ref="B73:G73">B4</f>
        <v>Teflon</v>
      </c>
      <c r="C73">
        <f t="shared" si="46"/>
        <v>2.2</v>
      </c>
      <c r="D73">
        <f t="shared" si="46"/>
        <v>49.3</v>
      </c>
      <c r="E73" t="str">
        <f t="shared" si="46"/>
        <v>Sheet</v>
      </c>
      <c r="F73">
        <f t="shared" si="46"/>
        <v>0.00508</v>
      </c>
      <c r="G73">
        <f t="shared" si="46"/>
        <v>0.0001030425963488844</v>
      </c>
      <c r="H73">
        <f t="shared" si="37"/>
        <v>-2.8109599999999992</v>
      </c>
      <c r="I73">
        <f>I74</f>
        <v>50</v>
      </c>
      <c r="J73">
        <f t="shared" si="34"/>
        <v>50</v>
      </c>
      <c r="K73">
        <f t="shared" si="35"/>
        <v>0.027940000000000003</v>
      </c>
    </row>
    <row r="74" spans="1:11" ht="12.75">
      <c r="A74" t="s">
        <v>23</v>
      </c>
      <c r="B74" t="str">
        <f>B47</f>
        <v>BC408</v>
      </c>
      <c r="C74">
        <f>C47</f>
        <v>1.032</v>
      </c>
      <c r="D74">
        <f>D47</f>
        <v>79.457</v>
      </c>
      <c r="E74" t="str">
        <f>E47</f>
        <v>Box</v>
      </c>
      <c r="F74">
        <f>F47</f>
        <v>0.05</v>
      </c>
      <c r="G74">
        <f>F74/D74</f>
        <v>0.0006292711781214998</v>
      </c>
      <c r="H74">
        <f t="shared" si="37"/>
        <v>-2.816039999999999</v>
      </c>
      <c r="I74">
        <f>I47</f>
        <v>50</v>
      </c>
      <c r="J74">
        <f t="shared" si="34"/>
        <v>50</v>
      </c>
      <c r="K74">
        <f t="shared" si="35"/>
        <v>0.12900000000000003</v>
      </c>
    </row>
    <row r="75" spans="1:11" ht="12.75">
      <c r="A75" s="1" t="s">
        <v>75</v>
      </c>
      <c r="B75" t="str">
        <f aca="true" t="shared" si="47" ref="B75:G75">B4</f>
        <v>Teflon</v>
      </c>
      <c r="C75">
        <f t="shared" si="47"/>
        <v>2.2</v>
      </c>
      <c r="D75">
        <f t="shared" si="47"/>
        <v>49.3</v>
      </c>
      <c r="E75" t="str">
        <f t="shared" si="47"/>
        <v>Sheet</v>
      </c>
      <c r="F75">
        <f t="shared" si="47"/>
        <v>0.00508</v>
      </c>
      <c r="G75">
        <f t="shared" si="47"/>
        <v>0.0001030425963488844</v>
      </c>
      <c r="H75">
        <f t="shared" si="37"/>
        <v>-2.866039999999999</v>
      </c>
      <c r="I75">
        <f>I74</f>
        <v>50</v>
      </c>
      <c r="J75">
        <f t="shared" si="34"/>
        <v>50</v>
      </c>
      <c r="K75">
        <f t="shared" si="35"/>
        <v>0.027940000000000003</v>
      </c>
    </row>
    <row r="76" spans="1:11" ht="12.75">
      <c r="A76" t="s">
        <v>24</v>
      </c>
      <c r="B76" t="str">
        <f>B45</f>
        <v>Tungsten</v>
      </c>
      <c r="C76">
        <f>C45</f>
        <v>19.3</v>
      </c>
      <c r="D76">
        <f>D45</f>
        <v>9.585</v>
      </c>
      <c r="E76" t="str">
        <f>E45</f>
        <v>Box</v>
      </c>
      <c r="F76">
        <f>F45</f>
        <v>0.35</v>
      </c>
      <c r="G76">
        <f>F76/D76</f>
        <v>0.03651538862806468</v>
      </c>
      <c r="H76">
        <f t="shared" si="37"/>
        <v>-2.871119999999999</v>
      </c>
      <c r="I76">
        <f>I45</f>
        <v>50</v>
      </c>
      <c r="J76">
        <f t="shared" si="34"/>
        <v>50</v>
      </c>
      <c r="K76">
        <f t="shared" si="35"/>
        <v>16.887500000000003</v>
      </c>
    </row>
    <row r="77" spans="1:11" ht="12.75">
      <c r="A77" s="1" t="s">
        <v>75</v>
      </c>
      <c r="B77" t="str">
        <f aca="true" t="shared" si="48" ref="B77:G77">B4</f>
        <v>Teflon</v>
      </c>
      <c r="C77">
        <f t="shared" si="48"/>
        <v>2.2</v>
      </c>
      <c r="D77">
        <f t="shared" si="48"/>
        <v>49.3</v>
      </c>
      <c r="E77" t="str">
        <f t="shared" si="48"/>
        <v>Sheet</v>
      </c>
      <c r="F77">
        <f t="shared" si="48"/>
        <v>0.00508</v>
      </c>
      <c r="G77">
        <f t="shared" si="48"/>
        <v>0.0001030425963488844</v>
      </c>
      <c r="H77">
        <f t="shared" si="37"/>
        <v>-3.221119999999999</v>
      </c>
      <c r="I77">
        <f>I78</f>
        <v>50</v>
      </c>
      <c r="J77">
        <f t="shared" si="34"/>
        <v>50</v>
      </c>
      <c r="K77">
        <f t="shared" si="35"/>
        <v>0.027940000000000003</v>
      </c>
    </row>
    <row r="78" spans="1:11" ht="12.75">
      <c r="A78" s="2" t="s">
        <v>25</v>
      </c>
      <c r="B78" t="str">
        <f>B47</f>
        <v>BC408</v>
      </c>
      <c r="C78">
        <f>C47</f>
        <v>1.032</v>
      </c>
      <c r="D78">
        <f>D47</f>
        <v>79.457</v>
      </c>
      <c r="E78" t="str">
        <f>E47</f>
        <v>Box</v>
      </c>
      <c r="F78">
        <f>F47</f>
        <v>0.05</v>
      </c>
      <c r="G78">
        <f>F78/D78</f>
        <v>0.0006292711781214998</v>
      </c>
      <c r="H78">
        <f t="shared" si="37"/>
        <v>-3.226199999999999</v>
      </c>
      <c r="I78">
        <f>I47</f>
        <v>50</v>
      </c>
      <c r="J78">
        <f t="shared" si="34"/>
        <v>50</v>
      </c>
      <c r="K78">
        <f t="shared" si="35"/>
        <v>0.12900000000000003</v>
      </c>
    </row>
    <row r="79" spans="1:11" ht="12.75">
      <c r="A79" s="1" t="s">
        <v>75</v>
      </c>
      <c r="B79" t="str">
        <f aca="true" t="shared" si="49" ref="B79:G79">B4</f>
        <v>Teflon</v>
      </c>
      <c r="C79">
        <f t="shared" si="49"/>
        <v>2.2</v>
      </c>
      <c r="D79">
        <f t="shared" si="49"/>
        <v>49.3</v>
      </c>
      <c r="E79" t="str">
        <f t="shared" si="49"/>
        <v>Sheet</v>
      </c>
      <c r="F79">
        <f t="shared" si="49"/>
        <v>0.00508</v>
      </c>
      <c r="G79">
        <f t="shared" si="49"/>
        <v>0.0001030425963488844</v>
      </c>
      <c r="H79">
        <f t="shared" si="37"/>
        <v>-3.276199999999999</v>
      </c>
      <c r="I79">
        <f>I78</f>
        <v>50</v>
      </c>
      <c r="J79">
        <f t="shared" si="34"/>
        <v>50</v>
      </c>
      <c r="K79">
        <f t="shared" si="35"/>
        <v>0.027940000000000003</v>
      </c>
    </row>
    <row r="80" spans="1:11" ht="12.75">
      <c r="A80" t="s">
        <v>26</v>
      </c>
      <c r="B80" t="str">
        <f>B45</f>
        <v>Tungsten</v>
      </c>
      <c r="C80">
        <f>C45</f>
        <v>19.3</v>
      </c>
      <c r="D80">
        <f>D45</f>
        <v>9.585</v>
      </c>
      <c r="E80" t="str">
        <f>E45</f>
        <v>Box</v>
      </c>
      <c r="F80">
        <f>F45</f>
        <v>0.35</v>
      </c>
      <c r="G80">
        <f>F80/D80</f>
        <v>0.03651538862806468</v>
      </c>
      <c r="H80">
        <f t="shared" si="37"/>
        <v>-3.281279999999999</v>
      </c>
      <c r="I80">
        <f>I45</f>
        <v>50</v>
      </c>
      <c r="J80">
        <f t="shared" si="34"/>
        <v>50</v>
      </c>
      <c r="K80">
        <f t="shared" si="35"/>
        <v>16.887500000000003</v>
      </c>
    </row>
    <row r="81" spans="1:11" ht="12.75">
      <c r="A81" s="1" t="s">
        <v>75</v>
      </c>
      <c r="B81" t="str">
        <f aca="true" t="shared" si="50" ref="B81:G81">B4</f>
        <v>Teflon</v>
      </c>
      <c r="C81">
        <f t="shared" si="50"/>
        <v>2.2</v>
      </c>
      <c r="D81">
        <f t="shared" si="50"/>
        <v>49.3</v>
      </c>
      <c r="E81" t="str">
        <f t="shared" si="50"/>
        <v>Sheet</v>
      </c>
      <c r="F81">
        <f t="shared" si="50"/>
        <v>0.00508</v>
      </c>
      <c r="G81">
        <f t="shared" si="50"/>
        <v>0.0001030425963488844</v>
      </c>
      <c r="H81">
        <f t="shared" si="37"/>
        <v>-3.631279999999999</v>
      </c>
      <c r="I81">
        <f>I82</f>
        <v>50</v>
      </c>
      <c r="J81">
        <f t="shared" si="34"/>
        <v>50</v>
      </c>
      <c r="K81">
        <f t="shared" si="35"/>
        <v>0.027940000000000003</v>
      </c>
    </row>
    <row r="82" spans="1:11" ht="12.75">
      <c r="A82" t="s">
        <v>27</v>
      </c>
      <c r="B82" t="str">
        <f>B47</f>
        <v>BC408</v>
      </c>
      <c r="C82">
        <f>C47</f>
        <v>1.032</v>
      </c>
      <c r="D82">
        <f>D47</f>
        <v>79.457</v>
      </c>
      <c r="E82" t="str">
        <f>E47</f>
        <v>Box</v>
      </c>
      <c r="F82">
        <f>F47</f>
        <v>0.05</v>
      </c>
      <c r="G82">
        <f>F82/D82</f>
        <v>0.0006292711781214998</v>
      </c>
      <c r="H82">
        <f t="shared" si="37"/>
        <v>-3.636359999999999</v>
      </c>
      <c r="I82">
        <f>I47</f>
        <v>50</v>
      </c>
      <c r="J82">
        <f t="shared" si="34"/>
        <v>50</v>
      </c>
      <c r="K82">
        <f t="shared" si="35"/>
        <v>0.12900000000000003</v>
      </c>
    </row>
    <row r="83" spans="1:11" ht="12.75">
      <c r="A83" s="1" t="s">
        <v>75</v>
      </c>
      <c r="B83" t="str">
        <f aca="true" t="shared" si="51" ref="B83:G83">B4</f>
        <v>Teflon</v>
      </c>
      <c r="C83">
        <f t="shared" si="51"/>
        <v>2.2</v>
      </c>
      <c r="D83">
        <f t="shared" si="51"/>
        <v>49.3</v>
      </c>
      <c r="E83" t="str">
        <f t="shared" si="51"/>
        <v>Sheet</v>
      </c>
      <c r="F83">
        <f t="shared" si="51"/>
        <v>0.00508</v>
      </c>
      <c r="G83">
        <f t="shared" si="51"/>
        <v>0.0001030425963488844</v>
      </c>
      <c r="H83">
        <f t="shared" si="37"/>
        <v>-3.6863599999999987</v>
      </c>
      <c r="I83">
        <f>I82</f>
        <v>50</v>
      </c>
      <c r="J83">
        <f t="shared" si="34"/>
        <v>50</v>
      </c>
      <c r="K83">
        <f t="shared" si="35"/>
        <v>0.027940000000000003</v>
      </c>
    </row>
    <row r="84" spans="1:11" ht="12.75">
      <c r="A84" t="s">
        <v>28</v>
      </c>
      <c r="B84" t="str">
        <f>B45</f>
        <v>Tungsten</v>
      </c>
      <c r="C84">
        <f>C45</f>
        <v>19.3</v>
      </c>
      <c r="D84">
        <f>D45</f>
        <v>9.585</v>
      </c>
      <c r="E84" t="str">
        <f>E45</f>
        <v>Box</v>
      </c>
      <c r="F84">
        <f>F45</f>
        <v>0.35</v>
      </c>
      <c r="G84">
        <f>F84/D84</f>
        <v>0.03651538862806468</v>
      </c>
      <c r="H84">
        <f t="shared" si="37"/>
        <v>-3.6914399999999987</v>
      </c>
      <c r="I84">
        <f>I45</f>
        <v>50</v>
      </c>
      <c r="J84">
        <f t="shared" si="34"/>
        <v>50</v>
      </c>
      <c r="K84">
        <f t="shared" si="35"/>
        <v>16.887500000000003</v>
      </c>
    </row>
    <row r="85" spans="1:11" ht="12.75">
      <c r="A85" s="1" t="s">
        <v>75</v>
      </c>
      <c r="B85" t="str">
        <f aca="true" t="shared" si="52" ref="B85:G85">B4</f>
        <v>Teflon</v>
      </c>
      <c r="C85">
        <f t="shared" si="52"/>
        <v>2.2</v>
      </c>
      <c r="D85">
        <f t="shared" si="52"/>
        <v>49.3</v>
      </c>
      <c r="E85" t="str">
        <f t="shared" si="52"/>
        <v>Sheet</v>
      </c>
      <c r="F85">
        <f t="shared" si="52"/>
        <v>0.00508</v>
      </c>
      <c r="G85">
        <f t="shared" si="52"/>
        <v>0.0001030425963488844</v>
      </c>
      <c r="H85">
        <f t="shared" si="37"/>
        <v>-4.041439999999999</v>
      </c>
      <c r="I85">
        <f>I86</f>
        <v>50</v>
      </c>
      <c r="J85">
        <f t="shared" si="34"/>
        <v>50</v>
      </c>
      <c r="K85">
        <f t="shared" si="35"/>
        <v>0.027940000000000003</v>
      </c>
    </row>
    <row r="86" spans="1:11" ht="12.75">
      <c r="A86" t="s">
        <v>29</v>
      </c>
      <c r="B86" t="str">
        <f>B47</f>
        <v>BC408</v>
      </c>
      <c r="C86">
        <f>C47</f>
        <v>1.032</v>
      </c>
      <c r="D86">
        <f>D47</f>
        <v>79.457</v>
      </c>
      <c r="E86" t="str">
        <f>E47</f>
        <v>Box</v>
      </c>
      <c r="F86">
        <f>F47</f>
        <v>0.05</v>
      </c>
      <c r="G86">
        <f>F86/D86</f>
        <v>0.0006292711781214998</v>
      </c>
      <c r="H86">
        <f t="shared" si="37"/>
        <v>-4.046519999999999</v>
      </c>
      <c r="I86">
        <f>I47</f>
        <v>50</v>
      </c>
      <c r="J86">
        <f t="shared" si="34"/>
        <v>50</v>
      </c>
      <c r="K86">
        <f t="shared" si="35"/>
        <v>0.12900000000000003</v>
      </c>
    </row>
    <row r="87" spans="1:11" ht="12.75">
      <c r="A87" s="1" t="s">
        <v>75</v>
      </c>
      <c r="B87" t="str">
        <f aca="true" t="shared" si="53" ref="B87:G87">B4</f>
        <v>Teflon</v>
      </c>
      <c r="C87">
        <f t="shared" si="53"/>
        <v>2.2</v>
      </c>
      <c r="D87">
        <f t="shared" si="53"/>
        <v>49.3</v>
      </c>
      <c r="E87" t="str">
        <f t="shared" si="53"/>
        <v>Sheet</v>
      </c>
      <c r="F87">
        <f t="shared" si="53"/>
        <v>0.00508</v>
      </c>
      <c r="G87">
        <f t="shared" si="53"/>
        <v>0.0001030425963488844</v>
      </c>
      <c r="H87">
        <f t="shared" si="37"/>
        <v>-4.096519999999999</v>
      </c>
      <c r="I87">
        <f>I86</f>
        <v>50</v>
      </c>
      <c r="J87">
        <f t="shared" si="34"/>
        <v>50</v>
      </c>
      <c r="K87">
        <f t="shared" si="35"/>
        <v>0.027940000000000003</v>
      </c>
    </row>
    <row r="88" spans="1:11" ht="12.75">
      <c r="A88" t="s">
        <v>30</v>
      </c>
      <c r="B88" t="str">
        <f>B45</f>
        <v>Tungsten</v>
      </c>
      <c r="C88">
        <f>C45</f>
        <v>19.3</v>
      </c>
      <c r="D88">
        <f>D45</f>
        <v>9.585</v>
      </c>
      <c r="E88" t="str">
        <f>E45</f>
        <v>Box</v>
      </c>
      <c r="F88">
        <f>F45</f>
        <v>0.35</v>
      </c>
      <c r="G88">
        <f>F88/D88</f>
        <v>0.03651538862806468</v>
      </c>
      <c r="H88">
        <f t="shared" si="37"/>
        <v>-4.1015999999999995</v>
      </c>
      <c r="I88">
        <f>I45</f>
        <v>50</v>
      </c>
      <c r="J88">
        <f t="shared" si="34"/>
        <v>50</v>
      </c>
      <c r="K88">
        <f t="shared" si="35"/>
        <v>16.887500000000003</v>
      </c>
    </row>
    <row r="89" spans="1:11" ht="12.75">
      <c r="A89" s="1" t="s">
        <v>75</v>
      </c>
      <c r="B89" t="str">
        <f aca="true" t="shared" si="54" ref="B89:G89">B4</f>
        <v>Teflon</v>
      </c>
      <c r="C89">
        <f t="shared" si="54"/>
        <v>2.2</v>
      </c>
      <c r="D89">
        <f t="shared" si="54"/>
        <v>49.3</v>
      </c>
      <c r="E89" t="str">
        <f t="shared" si="54"/>
        <v>Sheet</v>
      </c>
      <c r="F89">
        <f t="shared" si="54"/>
        <v>0.00508</v>
      </c>
      <c r="G89">
        <f t="shared" si="54"/>
        <v>0.0001030425963488844</v>
      </c>
      <c r="H89">
        <f t="shared" si="37"/>
        <v>-4.451599999999999</v>
      </c>
      <c r="I89">
        <f>I90</f>
        <v>50</v>
      </c>
      <c r="J89">
        <f t="shared" si="34"/>
        <v>50</v>
      </c>
      <c r="K89">
        <f t="shared" si="35"/>
        <v>0.027940000000000003</v>
      </c>
    </row>
    <row r="90" spans="1:11" ht="12.75">
      <c r="A90" t="s">
        <v>31</v>
      </c>
      <c r="B90" t="str">
        <f>B47</f>
        <v>BC408</v>
      </c>
      <c r="C90">
        <f>C47</f>
        <v>1.032</v>
      </c>
      <c r="D90">
        <f>D47</f>
        <v>79.457</v>
      </c>
      <c r="E90" t="str">
        <f>E47</f>
        <v>Box</v>
      </c>
      <c r="F90">
        <f>F47</f>
        <v>0.05</v>
      </c>
      <c r="G90">
        <f>F90/D90</f>
        <v>0.0006292711781214998</v>
      </c>
      <c r="H90">
        <f t="shared" si="37"/>
        <v>-4.4566799999999995</v>
      </c>
      <c r="I90">
        <f>I47</f>
        <v>50</v>
      </c>
      <c r="J90">
        <f t="shared" si="34"/>
        <v>50</v>
      </c>
      <c r="K90">
        <f t="shared" si="35"/>
        <v>0.12900000000000003</v>
      </c>
    </row>
    <row r="91" spans="1:11" ht="12.75">
      <c r="A91" s="1" t="s">
        <v>75</v>
      </c>
      <c r="B91" t="str">
        <f aca="true" t="shared" si="55" ref="B91:G91">B4</f>
        <v>Teflon</v>
      </c>
      <c r="C91">
        <f t="shared" si="55"/>
        <v>2.2</v>
      </c>
      <c r="D91">
        <f t="shared" si="55"/>
        <v>49.3</v>
      </c>
      <c r="E91" t="str">
        <f t="shared" si="55"/>
        <v>Sheet</v>
      </c>
      <c r="F91">
        <f t="shared" si="55"/>
        <v>0.00508</v>
      </c>
      <c r="G91">
        <f t="shared" si="55"/>
        <v>0.0001030425963488844</v>
      </c>
      <c r="H91">
        <f t="shared" si="37"/>
        <v>-4.506679999999999</v>
      </c>
      <c r="I91">
        <f>I90</f>
        <v>50</v>
      </c>
      <c r="J91">
        <f t="shared" si="34"/>
        <v>50</v>
      </c>
      <c r="K91">
        <f t="shared" si="35"/>
        <v>0.027940000000000003</v>
      </c>
    </row>
    <row r="92" spans="1:11" ht="12.75">
      <c r="A92" t="s">
        <v>32</v>
      </c>
      <c r="B92" t="str">
        <f>B45</f>
        <v>Tungsten</v>
      </c>
      <c r="C92">
        <f>C45</f>
        <v>19.3</v>
      </c>
      <c r="D92">
        <f>D45</f>
        <v>9.585</v>
      </c>
      <c r="E92" t="str">
        <f>E45</f>
        <v>Box</v>
      </c>
      <c r="F92">
        <f>F45</f>
        <v>0.35</v>
      </c>
      <c r="G92">
        <f>F92/D92</f>
        <v>0.03651538862806468</v>
      </c>
      <c r="H92">
        <f t="shared" si="37"/>
        <v>-4.51176</v>
      </c>
      <c r="I92">
        <f>I45</f>
        <v>50</v>
      </c>
      <c r="J92">
        <f t="shared" si="34"/>
        <v>50</v>
      </c>
      <c r="K92">
        <f t="shared" si="35"/>
        <v>16.887500000000003</v>
      </c>
    </row>
    <row r="93" spans="1:11" ht="12.75">
      <c r="A93" s="1" t="s">
        <v>75</v>
      </c>
      <c r="B93" t="str">
        <f aca="true" t="shared" si="56" ref="B93:G93">B4</f>
        <v>Teflon</v>
      </c>
      <c r="C93">
        <f t="shared" si="56"/>
        <v>2.2</v>
      </c>
      <c r="D93">
        <f t="shared" si="56"/>
        <v>49.3</v>
      </c>
      <c r="E93" t="str">
        <f t="shared" si="56"/>
        <v>Sheet</v>
      </c>
      <c r="F93">
        <f t="shared" si="56"/>
        <v>0.00508</v>
      </c>
      <c r="G93">
        <f t="shared" si="56"/>
        <v>0.0001030425963488844</v>
      </c>
      <c r="H93">
        <f t="shared" si="37"/>
        <v>-4.861759999999999</v>
      </c>
      <c r="I93">
        <f>I94</f>
        <v>50</v>
      </c>
      <c r="J93">
        <f t="shared" si="34"/>
        <v>50</v>
      </c>
      <c r="K93">
        <f t="shared" si="35"/>
        <v>0.027940000000000003</v>
      </c>
    </row>
    <row r="94" spans="1:11" ht="12.75">
      <c r="A94" t="s">
        <v>33</v>
      </c>
      <c r="B94" t="str">
        <f>B47</f>
        <v>BC408</v>
      </c>
      <c r="C94">
        <f>C47</f>
        <v>1.032</v>
      </c>
      <c r="D94">
        <f>D47</f>
        <v>79.457</v>
      </c>
      <c r="E94" t="str">
        <f>E47</f>
        <v>Box</v>
      </c>
      <c r="F94">
        <f>F47</f>
        <v>0.05</v>
      </c>
      <c r="G94">
        <f>F94/D94</f>
        <v>0.0006292711781214998</v>
      </c>
      <c r="H94">
        <f t="shared" si="37"/>
        <v>-4.86684</v>
      </c>
      <c r="I94">
        <f>I47</f>
        <v>50</v>
      </c>
      <c r="J94">
        <f t="shared" si="34"/>
        <v>50</v>
      </c>
      <c r="K94">
        <f t="shared" si="35"/>
        <v>0.12900000000000003</v>
      </c>
    </row>
    <row r="95" spans="1:11" ht="12.75">
      <c r="A95" s="1" t="s">
        <v>75</v>
      </c>
      <c r="B95" t="str">
        <f aca="true" t="shared" si="57" ref="B95:G95">B4</f>
        <v>Teflon</v>
      </c>
      <c r="C95">
        <f t="shared" si="57"/>
        <v>2.2</v>
      </c>
      <c r="D95">
        <f t="shared" si="57"/>
        <v>49.3</v>
      </c>
      <c r="E95" t="str">
        <f t="shared" si="57"/>
        <v>Sheet</v>
      </c>
      <c r="F95">
        <f t="shared" si="57"/>
        <v>0.00508</v>
      </c>
      <c r="G95">
        <f t="shared" si="57"/>
        <v>0.0001030425963488844</v>
      </c>
      <c r="H95">
        <f t="shared" si="37"/>
        <v>-4.91684</v>
      </c>
      <c r="I95">
        <f>I94</f>
        <v>50</v>
      </c>
      <c r="J95">
        <f t="shared" si="34"/>
        <v>50</v>
      </c>
      <c r="K95">
        <f t="shared" si="35"/>
        <v>0.027940000000000003</v>
      </c>
    </row>
    <row r="96" spans="1:11" ht="12.75">
      <c r="A96" t="s">
        <v>34</v>
      </c>
      <c r="B96" t="str">
        <f>B45</f>
        <v>Tungsten</v>
      </c>
      <c r="C96">
        <f>C45</f>
        <v>19.3</v>
      </c>
      <c r="D96">
        <f>D45</f>
        <v>9.585</v>
      </c>
      <c r="E96" t="str">
        <f>E45</f>
        <v>Box</v>
      </c>
      <c r="F96">
        <f>F45</f>
        <v>0.35</v>
      </c>
      <c r="G96">
        <f>F96/D96</f>
        <v>0.03651538862806468</v>
      </c>
      <c r="H96">
        <f t="shared" si="37"/>
        <v>-4.92192</v>
      </c>
      <c r="I96">
        <f>I45</f>
        <v>50</v>
      </c>
      <c r="J96">
        <f t="shared" si="34"/>
        <v>50</v>
      </c>
      <c r="K96">
        <f t="shared" si="35"/>
        <v>16.887500000000003</v>
      </c>
    </row>
    <row r="97" spans="1:11" ht="12.75">
      <c r="A97" s="1" t="s">
        <v>75</v>
      </c>
      <c r="B97" t="str">
        <f aca="true" t="shared" si="58" ref="B97:G97">B4</f>
        <v>Teflon</v>
      </c>
      <c r="C97">
        <f t="shared" si="58"/>
        <v>2.2</v>
      </c>
      <c r="D97">
        <f t="shared" si="58"/>
        <v>49.3</v>
      </c>
      <c r="E97" t="str">
        <f t="shared" si="58"/>
        <v>Sheet</v>
      </c>
      <c r="F97">
        <f t="shared" si="58"/>
        <v>0.00508</v>
      </c>
      <c r="G97">
        <f t="shared" si="58"/>
        <v>0.0001030425963488844</v>
      </c>
      <c r="H97">
        <f t="shared" si="37"/>
        <v>-5.27192</v>
      </c>
      <c r="I97">
        <f>I98</f>
        <v>50</v>
      </c>
      <c r="J97">
        <f t="shared" si="34"/>
        <v>50</v>
      </c>
      <c r="K97">
        <f t="shared" si="35"/>
        <v>0.027940000000000003</v>
      </c>
    </row>
    <row r="98" spans="1:11" ht="12.75">
      <c r="A98" t="s">
        <v>35</v>
      </c>
      <c r="B98" t="str">
        <f>B47</f>
        <v>BC408</v>
      </c>
      <c r="C98">
        <f>C47</f>
        <v>1.032</v>
      </c>
      <c r="D98">
        <f>D47</f>
        <v>79.457</v>
      </c>
      <c r="E98" t="str">
        <f>E47</f>
        <v>Box</v>
      </c>
      <c r="F98">
        <f>F47</f>
        <v>0.05</v>
      </c>
      <c r="G98">
        <f>F98/D98</f>
        <v>0.0006292711781214998</v>
      </c>
      <c r="H98">
        <f t="shared" si="37"/>
        <v>-5.277</v>
      </c>
      <c r="I98">
        <f>I47</f>
        <v>50</v>
      </c>
      <c r="J98">
        <f t="shared" si="34"/>
        <v>50</v>
      </c>
      <c r="K98">
        <f t="shared" si="35"/>
        <v>0.12900000000000003</v>
      </c>
    </row>
    <row r="99" spans="1:11" ht="12.75">
      <c r="A99" s="1" t="s">
        <v>75</v>
      </c>
      <c r="B99" t="str">
        <f aca="true" t="shared" si="59" ref="B99:G99">B4</f>
        <v>Teflon</v>
      </c>
      <c r="C99">
        <f t="shared" si="59"/>
        <v>2.2</v>
      </c>
      <c r="D99">
        <f t="shared" si="59"/>
        <v>49.3</v>
      </c>
      <c r="E99" t="str">
        <f t="shared" si="59"/>
        <v>Sheet</v>
      </c>
      <c r="F99">
        <f t="shared" si="59"/>
        <v>0.00508</v>
      </c>
      <c r="G99">
        <f t="shared" si="59"/>
        <v>0.0001030425963488844</v>
      </c>
      <c r="H99">
        <f t="shared" si="37"/>
        <v>-5.327</v>
      </c>
      <c r="I99">
        <f>I98</f>
        <v>50</v>
      </c>
      <c r="J99">
        <f t="shared" si="34"/>
        <v>50</v>
      </c>
      <c r="K99">
        <f t="shared" si="35"/>
        <v>0.027940000000000003</v>
      </c>
    </row>
    <row r="100" spans="1:11" ht="12.75">
      <c r="A100" t="s">
        <v>36</v>
      </c>
      <c r="B100" t="str">
        <f>B45</f>
        <v>Tungsten</v>
      </c>
      <c r="C100">
        <f>C45</f>
        <v>19.3</v>
      </c>
      <c r="D100">
        <f>D45</f>
        <v>9.585</v>
      </c>
      <c r="E100" t="str">
        <f>E45</f>
        <v>Box</v>
      </c>
      <c r="F100">
        <f>F45</f>
        <v>0.35</v>
      </c>
      <c r="G100">
        <f>F100/D100</f>
        <v>0.03651538862806468</v>
      </c>
      <c r="H100">
        <f t="shared" si="37"/>
        <v>-5.33208</v>
      </c>
      <c r="I100">
        <f>I45</f>
        <v>50</v>
      </c>
      <c r="J100">
        <f t="shared" si="34"/>
        <v>50</v>
      </c>
      <c r="K100">
        <f t="shared" si="35"/>
        <v>16.887500000000003</v>
      </c>
    </row>
    <row r="101" spans="1:11" ht="12.75">
      <c r="A101" s="6" t="s">
        <v>0</v>
      </c>
      <c r="B101" s="6" t="s">
        <v>1</v>
      </c>
      <c r="C101" s="7" t="s">
        <v>68</v>
      </c>
      <c r="D101" s="7" t="s">
        <v>70</v>
      </c>
      <c r="E101" s="6" t="s">
        <v>2</v>
      </c>
      <c r="F101" s="37" t="s">
        <v>3</v>
      </c>
      <c r="G101" s="37"/>
      <c r="H101" s="6" t="s">
        <v>5</v>
      </c>
      <c r="I101" s="6" t="s">
        <v>90</v>
      </c>
      <c r="J101" s="6" t="s">
        <v>89</v>
      </c>
      <c r="K101" s="8" t="s">
        <v>55</v>
      </c>
    </row>
    <row r="102" spans="1:11" ht="12.75">
      <c r="A102" s="6"/>
      <c r="B102" s="6"/>
      <c r="C102" s="6" t="s">
        <v>69</v>
      </c>
      <c r="D102" s="6" t="s">
        <v>4</v>
      </c>
      <c r="E102" s="6"/>
      <c r="F102" s="6" t="s">
        <v>4</v>
      </c>
      <c r="G102" s="7" t="s">
        <v>70</v>
      </c>
      <c r="H102" s="6" t="s">
        <v>4</v>
      </c>
      <c r="I102" s="6" t="s">
        <v>4</v>
      </c>
      <c r="J102" s="6" t="s">
        <v>4</v>
      </c>
      <c r="K102" s="8" t="s">
        <v>71</v>
      </c>
    </row>
    <row r="103" spans="1:11" ht="12.75">
      <c r="A103" s="6"/>
      <c r="B103" s="6"/>
      <c r="C103" s="6"/>
      <c r="D103" s="6"/>
      <c r="E103" s="6"/>
      <c r="F103" s="6"/>
      <c r="G103" s="7"/>
      <c r="H103" s="6"/>
      <c r="I103" s="6"/>
      <c r="J103" s="6"/>
      <c r="K103" s="8"/>
    </row>
    <row r="104" spans="1:11" ht="12.75">
      <c r="A104" s="1" t="s">
        <v>75</v>
      </c>
      <c r="B104" t="str">
        <f aca="true" t="shared" si="60" ref="B104:G104">B4</f>
        <v>Teflon</v>
      </c>
      <c r="C104">
        <f t="shared" si="60"/>
        <v>2.2</v>
      </c>
      <c r="D104">
        <f t="shared" si="60"/>
        <v>49.3</v>
      </c>
      <c r="E104" t="str">
        <f t="shared" si="60"/>
        <v>Sheet</v>
      </c>
      <c r="F104">
        <f t="shared" si="60"/>
        <v>0.00508</v>
      </c>
      <c r="G104">
        <f t="shared" si="60"/>
        <v>0.0001030425963488844</v>
      </c>
      <c r="H104">
        <f>H100-F100</f>
        <v>-5.68208</v>
      </c>
      <c r="I104">
        <f>I105</f>
        <v>50</v>
      </c>
      <c r="J104">
        <f aca="true" t="shared" si="61" ref="J104:J130">I104</f>
        <v>50</v>
      </c>
      <c r="K104">
        <f aca="true" t="shared" si="62" ref="K104:K130">0.001*C104*I104*I104*F104</f>
        <v>0.027940000000000003</v>
      </c>
    </row>
    <row r="105" spans="1:11" ht="12.75">
      <c r="A105" t="s">
        <v>37</v>
      </c>
      <c r="B105" t="str">
        <f>B47</f>
        <v>BC408</v>
      </c>
      <c r="C105">
        <f>C47</f>
        <v>1.032</v>
      </c>
      <c r="D105">
        <f>D47</f>
        <v>79.457</v>
      </c>
      <c r="E105" t="str">
        <f>E47</f>
        <v>Box</v>
      </c>
      <c r="F105">
        <f>F47</f>
        <v>0.05</v>
      </c>
      <c r="G105">
        <f>F105/D105</f>
        <v>0.0006292711781214998</v>
      </c>
      <c r="H105">
        <f aca="true" t="shared" si="63" ref="H105:H130">H104-F104</f>
        <v>-5.68716</v>
      </c>
      <c r="I105">
        <f>I47</f>
        <v>50</v>
      </c>
      <c r="J105">
        <f t="shared" si="61"/>
        <v>50</v>
      </c>
      <c r="K105">
        <f t="shared" si="62"/>
        <v>0.12900000000000003</v>
      </c>
    </row>
    <row r="106" spans="1:11" ht="12.75">
      <c r="A106" s="1" t="s">
        <v>75</v>
      </c>
      <c r="B106" t="str">
        <f aca="true" t="shared" si="64" ref="B106:G106">B4</f>
        <v>Teflon</v>
      </c>
      <c r="C106">
        <f t="shared" si="64"/>
        <v>2.2</v>
      </c>
      <c r="D106">
        <f t="shared" si="64"/>
        <v>49.3</v>
      </c>
      <c r="E106" t="str">
        <f t="shared" si="64"/>
        <v>Sheet</v>
      </c>
      <c r="F106">
        <f t="shared" si="64"/>
        <v>0.00508</v>
      </c>
      <c r="G106">
        <f t="shared" si="64"/>
        <v>0.0001030425963488844</v>
      </c>
      <c r="H106">
        <f t="shared" si="63"/>
        <v>-5.73716</v>
      </c>
      <c r="I106">
        <f>I105</f>
        <v>50</v>
      </c>
      <c r="J106">
        <f t="shared" si="61"/>
        <v>50</v>
      </c>
      <c r="K106">
        <f t="shared" si="62"/>
        <v>0.027940000000000003</v>
      </c>
    </row>
    <row r="107" spans="1:11" ht="12.75">
      <c r="A107" t="s">
        <v>38</v>
      </c>
      <c r="B107" t="str">
        <f>B45</f>
        <v>Tungsten</v>
      </c>
      <c r="C107">
        <f>C45</f>
        <v>19.3</v>
      </c>
      <c r="D107">
        <f>D45</f>
        <v>9.585</v>
      </c>
      <c r="E107" t="str">
        <f>E45</f>
        <v>Box</v>
      </c>
      <c r="F107">
        <f>F45</f>
        <v>0.35</v>
      </c>
      <c r="G107">
        <f>F107/D107</f>
        <v>0.03651538862806468</v>
      </c>
      <c r="H107">
        <f t="shared" si="63"/>
        <v>-5.742240000000001</v>
      </c>
      <c r="I107">
        <f>I45</f>
        <v>50</v>
      </c>
      <c r="J107">
        <f t="shared" si="61"/>
        <v>50</v>
      </c>
      <c r="K107">
        <f t="shared" si="62"/>
        <v>16.887500000000003</v>
      </c>
    </row>
    <row r="108" spans="1:11" ht="12.75">
      <c r="A108" s="1" t="s">
        <v>75</v>
      </c>
      <c r="B108" t="str">
        <f aca="true" t="shared" si="65" ref="B108:G108">B4</f>
        <v>Teflon</v>
      </c>
      <c r="C108">
        <f t="shared" si="65"/>
        <v>2.2</v>
      </c>
      <c r="D108">
        <f t="shared" si="65"/>
        <v>49.3</v>
      </c>
      <c r="E108" t="str">
        <f t="shared" si="65"/>
        <v>Sheet</v>
      </c>
      <c r="F108">
        <f t="shared" si="65"/>
        <v>0.00508</v>
      </c>
      <c r="G108">
        <f t="shared" si="65"/>
        <v>0.0001030425963488844</v>
      </c>
      <c r="H108">
        <f t="shared" si="63"/>
        <v>-6.09224</v>
      </c>
      <c r="I108">
        <f>I109</f>
        <v>50</v>
      </c>
      <c r="J108">
        <f t="shared" si="61"/>
        <v>50</v>
      </c>
      <c r="K108">
        <f t="shared" si="62"/>
        <v>0.027940000000000003</v>
      </c>
    </row>
    <row r="109" spans="1:11" ht="12.75">
      <c r="A109" t="s">
        <v>39</v>
      </c>
      <c r="B109" t="str">
        <f>B47</f>
        <v>BC408</v>
      </c>
      <c r="C109">
        <f>C47</f>
        <v>1.032</v>
      </c>
      <c r="D109">
        <f>D47</f>
        <v>79.457</v>
      </c>
      <c r="E109" t="str">
        <f>E47</f>
        <v>Box</v>
      </c>
      <c r="F109">
        <f>F47</f>
        <v>0.05</v>
      </c>
      <c r="G109">
        <f>F109/D109</f>
        <v>0.0006292711781214998</v>
      </c>
      <c r="H109">
        <f t="shared" si="63"/>
        <v>-6.097320000000001</v>
      </c>
      <c r="I109">
        <f>I47</f>
        <v>50</v>
      </c>
      <c r="J109">
        <f t="shared" si="61"/>
        <v>50</v>
      </c>
      <c r="K109">
        <f t="shared" si="62"/>
        <v>0.12900000000000003</v>
      </c>
    </row>
    <row r="110" spans="1:11" ht="12.75">
      <c r="A110" s="1" t="s">
        <v>75</v>
      </c>
      <c r="B110" t="str">
        <f aca="true" t="shared" si="66" ref="B110:G110">B4</f>
        <v>Teflon</v>
      </c>
      <c r="C110">
        <f t="shared" si="66"/>
        <v>2.2</v>
      </c>
      <c r="D110">
        <f t="shared" si="66"/>
        <v>49.3</v>
      </c>
      <c r="E110" t="str">
        <f t="shared" si="66"/>
        <v>Sheet</v>
      </c>
      <c r="F110">
        <f t="shared" si="66"/>
        <v>0.00508</v>
      </c>
      <c r="G110">
        <f t="shared" si="66"/>
        <v>0.0001030425963488844</v>
      </c>
      <c r="H110">
        <f t="shared" si="63"/>
        <v>-6.147320000000001</v>
      </c>
      <c r="I110">
        <f>I109</f>
        <v>50</v>
      </c>
      <c r="J110">
        <f t="shared" si="61"/>
        <v>50</v>
      </c>
      <c r="K110">
        <f t="shared" si="62"/>
        <v>0.027940000000000003</v>
      </c>
    </row>
    <row r="111" spans="1:11" ht="12.75">
      <c r="A111" t="s">
        <v>40</v>
      </c>
      <c r="B111" t="str">
        <f>B45</f>
        <v>Tungsten</v>
      </c>
      <c r="C111">
        <f>C45</f>
        <v>19.3</v>
      </c>
      <c r="D111">
        <f>D45</f>
        <v>9.585</v>
      </c>
      <c r="E111" t="str">
        <f>E45</f>
        <v>Box</v>
      </c>
      <c r="F111">
        <f>F45</f>
        <v>0.35</v>
      </c>
      <c r="G111">
        <f>F111/D111</f>
        <v>0.03651538862806468</v>
      </c>
      <c r="H111">
        <f t="shared" si="63"/>
        <v>-6.152400000000001</v>
      </c>
      <c r="I111">
        <f>I45</f>
        <v>50</v>
      </c>
      <c r="J111">
        <f t="shared" si="61"/>
        <v>50</v>
      </c>
      <c r="K111">
        <f t="shared" si="62"/>
        <v>16.887500000000003</v>
      </c>
    </row>
    <row r="112" spans="1:11" ht="12.75">
      <c r="A112" s="1" t="s">
        <v>75</v>
      </c>
      <c r="B112" t="str">
        <f aca="true" t="shared" si="67" ref="B112:G112">B4</f>
        <v>Teflon</v>
      </c>
      <c r="C112">
        <f t="shared" si="67"/>
        <v>2.2</v>
      </c>
      <c r="D112">
        <f t="shared" si="67"/>
        <v>49.3</v>
      </c>
      <c r="E112" t="str">
        <f t="shared" si="67"/>
        <v>Sheet</v>
      </c>
      <c r="F112">
        <f t="shared" si="67"/>
        <v>0.00508</v>
      </c>
      <c r="G112">
        <f t="shared" si="67"/>
        <v>0.0001030425963488844</v>
      </c>
      <c r="H112">
        <f t="shared" si="63"/>
        <v>-6.502400000000001</v>
      </c>
      <c r="I112">
        <f>I113</f>
        <v>50</v>
      </c>
      <c r="J112">
        <f t="shared" si="61"/>
        <v>50</v>
      </c>
      <c r="K112">
        <f t="shared" si="62"/>
        <v>0.027940000000000003</v>
      </c>
    </row>
    <row r="113" spans="1:11" ht="12.75">
      <c r="A113" t="s">
        <v>41</v>
      </c>
      <c r="B113" t="str">
        <f>B47</f>
        <v>BC408</v>
      </c>
      <c r="C113">
        <f>C47</f>
        <v>1.032</v>
      </c>
      <c r="D113">
        <f>D47</f>
        <v>79.457</v>
      </c>
      <c r="E113" t="str">
        <f>E47</f>
        <v>Box</v>
      </c>
      <c r="F113">
        <f>F47</f>
        <v>0.05</v>
      </c>
      <c r="G113">
        <f>F113/D113</f>
        <v>0.0006292711781214998</v>
      </c>
      <c r="H113">
        <f t="shared" si="63"/>
        <v>-6.507480000000001</v>
      </c>
      <c r="I113">
        <f>I47</f>
        <v>50</v>
      </c>
      <c r="J113">
        <f t="shared" si="61"/>
        <v>50</v>
      </c>
      <c r="K113">
        <f t="shared" si="62"/>
        <v>0.12900000000000003</v>
      </c>
    </row>
    <row r="114" spans="1:11" ht="12.75">
      <c r="A114" s="1" t="s">
        <v>75</v>
      </c>
      <c r="B114" t="str">
        <f aca="true" t="shared" si="68" ref="B114:G114">B4</f>
        <v>Teflon</v>
      </c>
      <c r="C114">
        <f t="shared" si="68"/>
        <v>2.2</v>
      </c>
      <c r="D114">
        <f t="shared" si="68"/>
        <v>49.3</v>
      </c>
      <c r="E114" t="str">
        <f t="shared" si="68"/>
        <v>Sheet</v>
      </c>
      <c r="F114">
        <f t="shared" si="68"/>
        <v>0.00508</v>
      </c>
      <c r="G114">
        <f t="shared" si="68"/>
        <v>0.0001030425963488844</v>
      </c>
      <c r="H114">
        <f t="shared" si="63"/>
        <v>-6.557480000000001</v>
      </c>
      <c r="I114">
        <f>I113</f>
        <v>50</v>
      </c>
      <c r="J114">
        <f t="shared" si="61"/>
        <v>50</v>
      </c>
      <c r="K114">
        <f t="shared" si="62"/>
        <v>0.027940000000000003</v>
      </c>
    </row>
    <row r="115" spans="1:11" ht="12.75">
      <c r="A115" t="s">
        <v>42</v>
      </c>
      <c r="B115" t="str">
        <f>B45</f>
        <v>Tungsten</v>
      </c>
      <c r="C115">
        <f>C45</f>
        <v>19.3</v>
      </c>
      <c r="D115">
        <f>D45</f>
        <v>9.585</v>
      </c>
      <c r="E115" t="str">
        <f>E45</f>
        <v>Box</v>
      </c>
      <c r="F115">
        <f>F45</f>
        <v>0.35</v>
      </c>
      <c r="G115">
        <f>F115/D115</f>
        <v>0.03651538862806468</v>
      </c>
      <c r="H115">
        <f t="shared" si="63"/>
        <v>-6.562560000000001</v>
      </c>
      <c r="I115">
        <f>I45</f>
        <v>50</v>
      </c>
      <c r="J115">
        <f t="shared" si="61"/>
        <v>50</v>
      </c>
      <c r="K115">
        <f t="shared" si="62"/>
        <v>16.887500000000003</v>
      </c>
    </row>
    <row r="116" spans="1:11" ht="12.75">
      <c r="A116" s="1" t="s">
        <v>75</v>
      </c>
      <c r="B116" t="str">
        <f aca="true" t="shared" si="69" ref="B116:G116">B4</f>
        <v>Teflon</v>
      </c>
      <c r="C116">
        <f t="shared" si="69"/>
        <v>2.2</v>
      </c>
      <c r="D116">
        <f t="shared" si="69"/>
        <v>49.3</v>
      </c>
      <c r="E116" t="str">
        <f t="shared" si="69"/>
        <v>Sheet</v>
      </c>
      <c r="F116">
        <f t="shared" si="69"/>
        <v>0.00508</v>
      </c>
      <c r="G116">
        <f t="shared" si="69"/>
        <v>0.0001030425963488844</v>
      </c>
      <c r="H116">
        <f t="shared" si="63"/>
        <v>-6.912560000000001</v>
      </c>
      <c r="I116">
        <f>I117</f>
        <v>50</v>
      </c>
      <c r="J116">
        <f t="shared" si="61"/>
        <v>50</v>
      </c>
      <c r="K116">
        <f t="shared" si="62"/>
        <v>0.027940000000000003</v>
      </c>
    </row>
    <row r="117" spans="1:11" ht="12.75">
      <c r="A117" t="s">
        <v>43</v>
      </c>
      <c r="B117" t="str">
        <f>B47</f>
        <v>BC408</v>
      </c>
      <c r="C117">
        <f>C47</f>
        <v>1.032</v>
      </c>
      <c r="D117">
        <f>D47</f>
        <v>79.457</v>
      </c>
      <c r="E117" t="str">
        <f>E47</f>
        <v>Box</v>
      </c>
      <c r="F117">
        <f>F47</f>
        <v>0.05</v>
      </c>
      <c r="G117">
        <f>F117/D117</f>
        <v>0.0006292711781214998</v>
      </c>
      <c r="H117">
        <f t="shared" si="63"/>
        <v>-6.917640000000001</v>
      </c>
      <c r="I117">
        <f>I47</f>
        <v>50</v>
      </c>
      <c r="J117">
        <f t="shared" si="61"/>
        <v>50</v>
      </c>
      <c r="K117">
        <f t="shared" si="62"/>
        <v>0.12900000000000003</v>
      </c>
    </row>
    <row r="118" spans="1:11" ht="12.75">
      <c r="A118" s="1" t="s">
        <v>75</v>
      </c>
      <c r="B118" t="str">
        <f aca="true" t="shared" si="70" ref="B118:G118">B4</f>
        <v>Teflon</v>
      </c>
      <c r="C118">
        <f t="shared" si="70"/>
        <v>2.2</v>
      </c>
      <c r="D118">
        <f t="shared" si="70"/>
        <v>49.3</v>
      </c>
      <c r="E118" t="str">
        <f t="shared" si="70"/>
        <v>Sheet</v>
      </c>
      <c r="F118">
        <f t="shared" si="70"/>
        <v>0.00508</v>
      </c>
      <c r="G118">
        <f t="shared" si="70"/>
        <v>0.0001030425963488844</v>
      </c>
      <c r="H118">
        <f t="shared" si="63"/>
        <v>-6.967640000000001</v>
      </c>
      <c r="I118">
        <f>I117</f>
        <v>50</v>
      </c>
      <c r="J118">
        <f t="shared" si="61"/>
        <v>50</v>
      </c>
      <c r="K118">
        <f t="shared" si="62"/>
        <v>0.027940000000000003</v>
      </c>
    </row>
    <row r="119" spans="1:11" ht="12.75">
      <c r="A119" t="s">
        <v>44</v>
      </c>
      <c r="B119" t="str">
        <f>B45</f>
        <v>Tungsten</v>
      </c>
      <c r="C119">
        <f>C45</f>
        <v>19.3</v>
      </c>
      <c r="D119">
        <f>D45</f>
        <v>9.585</v>
      </c>
      <c r="E119" t="str">
        <f>E45</f>
        <v>Box</v>
      </c>
      <c r="F119">
        <f>F45</f>
        <v>0.35</v>
      </c>
      <c r="G119">
        <f>F119/D119</f>
        <v>0.03651538862806468</v>
      </c>
      <c r="H119">
        <f t="shared" si="63"/>
        <v>-6.972720000000002</v>
      </c>
      <c r="I119">
        <f>I45</f>
        <v>50</v>
      </c>
      <c r="J119">
        <f t="shared" si="61"/>
        <v>50</v>
      </c>
      <c r="K119">
        <f t="shared" si="62"/>
        <v>16.887500000000003</v>
      </c>
    </row>
    <row r="120" spans="1:11" ht="12.75">
      <c r="A120" s="1" t="s">
        <v>75</v>
      </c>
      <c r="B120" t="str">
        <f aca="true" t="shared" si="71" ref="B120:G120">B4</f>
        <v>Teflon</v>
      </c>
      <c r="C120">
        <f t="shared" si="71"/>
        <v>2.2</v>
      </c>
      <c r="D120">
        <f t="shared" si="71"/>
        <v>49.3</v>
      </c>
      <c r="E120" t="str">
        <f t="shared" si="71"/>
        <v>Sheet</v>
      </c>
      <c r="F120">
        <f t="shared" si="71"/>
        <v>0.00508</v>
      </c>
      <c r="G120">
        <f t="shared" si="71"/>
        <v>0.0001030425963488844</v>
      </c>
      <c r="H120">
        <f t="shared" si="63"/>
        <v>-7.322720000000001</v>
      </c>
      <c r="I120">
        <f>I121</f>
        <v>50</v>
      </c>
      <c r="J120">
        <f t="shared" si="61"/>
        <v>50</v>
      </c>
      <c r="K120">
        <f t="shared" si="62"/>
        <v>0.027940000000000003</v>
      </c>
    </row>
    <row r="121" spans="1:11" ht="12.75">
      <c r="A121" t="s">
        <v>45</v>
      </c>
      <c r="B121" t="str">
        <f>B47</f>
        <v>BC408</v>
      </c>
      <c r="C121">
        <f>C47</f>
        <v>1.032</v>
      </c>
      <c r="D121">
        <f>D47</f>
        <v>79.457</v>
      </c>
      <c r="E121" t="str">
        <f>E47</f>
        <v>Box</v>
      </c>
      <c r="F121">
        <f>F47</f>
        <v>0.05</v>
      </c>
      <c r="G121">
        <f>F121/D121</f>
        <v>0.0006292711781214998</v>
      </c>
      <c r="H121">
        <f t="shared" si="63"/>
        <v>-7.327800000000002</v>
      </c>
      <c r="I121">
        <f>I47</f>
        <v>50</v>
      </c>
      <c r="J121">
        <f t="shared" si="61"/>
        <v>50</v>
      </c>
      <c r="K121">
        <f t="shared" si="62"/>
        <v>0.12900000000000003</v>
      </c>
    </row>
    <row r="122" spans="1:11" ht="12.75">
      <c r="A122" s="1" t="s">
        <v>75</v>
      </c>
      <c r="B122" t="str">
        <f aca="true" t="shared" si="72" ref="B122:G122">B4</f>
        <v>Teflon</v>
      </c>
      <c r="C122">
        <f t="shared" si="72"/>
        <v>2.2</v>
      </c>
      <c r="D122">
        <f t="shared" si="72"/>
        <v>49.3</v>
      </c>
      <c r="E122" t="str">
        <f t="shared" si="72"/>
        <v>Sheet</v>
      </c>
      <c r="F122">
        <f t="shared" si="72"/>
        <v>0.00508</v>
      </c>
      <c r="G122">
        <f t="shared" si="72"/>
        <v>0.0001030425963488844</v>
      </c>
      <c r="H122">
        <f t="shared" si="63"/>
        <v>-7.3778000000000015</v>
      </c>
      <c r="I122">
        <f>I121</f>
        <v>50</v>
      </c>
      <c r="J122">
        <f t="shared" si="61"/>
        <v>50</v>
      </c>
      <c r="K122">
        <f t="shared" si="62"/>
        <v>0.027940000000000003</v>
      </c>
    </row>
    <row r="123" spans="1:11" ht="12.75">
      <c r="A123" t="s">
        <v>46</v>
      </c>
      <c r="B123" t="str">
        <f>B45</f>
        <v>Tungsten</v>
      </c>
      <c r="C123">
        <f>C45</f>
        <v>19.3</v>
      </c>
      <c r="D123">
        <f>D45</f>
        <v>9.585</v>
      </c>
      <c r="E123" t="str">
        <f>E45</f>
        <v>Box</v>
      </c>
      <c r="F123">
        <f>F45</f>
        <v>0.35</v>
      </c>
      <c r="G123">
        <f>F123/D123</f>
        <v>0.03651538862806468</v>
      </c>
      <c r="H123">
        <f t="shared" si="63"/>
        <v>-7.382880000000002</v>
      </c>
      <c r="I123">
        <f>I45</f>
        <v>50</v>
      </c>
      <c r="J123">
        <f t="shared" si="61"/>
        <v>50</v>
      </c>
      <c r="K123">
        <f t="shared" si="62"/>
        <v>16.887500000000003</v>
      </c>
    </row>
    <row r="124" spans="1:11" ht="12.75">
      <c r="A124" s="1" t="s">
        <v>75</v>
      </c>
      <c r="B124" t="str">
        <f aca="true" t="shared" si="73" ref="B124:G124">B4</f>
        <v>Teflon</v>
      </c>
      <c r="C124">
        <f t="shared" si="73"/>
        <v>2.2</v>
      </c>
      <c r="D124">
        <f t="shared" si="73"/>
        <v>49.3</v>
      </c>
      <c r="E124" t="str">
        <f t="shared" si="73"/>
        <v>Sheet</v>
      </c>
      <c r="F124">
        <f t="shared" si="73"/>
        <v>0.00508</v>
      </c>
      <c r="G124">
        <f t="shared" si="73"/>
        <v>0.0001030425963488844</v>
      </c>
      <c r="H124">
        <f t="shared" si="63"/>
        <v>-7.7328800000000015</v>
      </c>
      <c r="I124">
        <f>I125</f>
        <v>50</v>
      </c>
      <c r="J124">
        <f t="shared" si="61"/>
        <v>50</v>
      </c>
      <c r="K124">
        <f t="shared" si="62"/>
        <v>0.027940000000000003</v>
      </c>
    </row>
    <row r="125" spans="1:11" ht="12.75">
      <c r="A125" t="s">
        <v>47</v>
      </c>
      <c r="B125" t="str">
        <f>B47</f>
        <v>BC408</v>
      </c>
      <c r="C125">
        <f>C47</f>
        <v>1.032</v>
      </c>
      <c r="D125">
        <f>D47</f>
        <v>79.457</v>
      </c>
      <c r="E125" t="str">
        <f>E47</f>
        <v>Box</v>
      </c>
      <c r="F125">
        <f>F47</f>
        <v>0.05</v>
      </c>
      <c r="G125">
        <f>F125/D125</f>
        <v>0.0006292711781214998</v>
      </c>
      <c r="H125">
        <f t="shared" si="63"/>
        <v>-7.737960000000002</v>
      </c>
      <c r="I125">
        <f>I47</f>
        <v>50</v>
      </c>
      <c r="J125">
        <f t="shared" si="61"/>
        <v>50</v>
      </c>
      <c r="K125">
        <f t="shared" si="62"/>
        <v>0.12900000000000003</v>
      </c>
    </row>
    <row r="126" spans="1:11" ht="12.75">
      <c r="A126" s="1" t="s">
        <v>75</v>
      </c>
      <c r="B126" t="str">
        <f aca="true" t="shared" si="74" ref="B126:G126">B4</f>
        <v>Teflon</v>
      </c>
      <c r="C126">
        <f t="shared" si="74"/>
        <v>2.2</v>
      </c>
      <c r="D126">
        <f t="shared" si="74"/>
        <v>49.3</v>
      </c>
      <c r="E126" t="str">
        <f t="shared" si="74"/>
        <v>Sheet</v>
      </c>
      <c r="F126">
        <f t="shared" si="74"/>
        <v>0.00508</v>
      </c>
      <c r="G126">
        <f t="shared" si="74"/>
        <v>0.0001030425963488844</v>
      </c>
      <c r="H126">
        <f t="shared" si="63"/>
        <v>-7.787960000000002</v>
      </c>
      <c r="I126">
        <f>I125</f>
        <v>50</v>
      </c>
      <c r="J126">
        <f t="shared" si="61"/>
        <v>50</v>
      </c>
      <c r="K126">
        <f t="shared" si="62"/>
        <v>0.027940000000000003</v>
      </c>
    </row>
    <row r="127" spans="1:11" ht="12.75">
      <c r="A127" t="s">
        <v>48</v>
      </c>
      <c r="B127" t="str">
        <f>B45</f>
        <v>Tungsten</v>
      </c>
      <c r="C127">
        <f>C45</f>
        <v>19.3</v>
      </c>
      <c r="D127">
        <f>D45</f>
        <v>9.585</v>
      </c>
      <c r="E127" t="str">
        <f>E45</f>
        <v>Box</v>
      </c>
      <c r="F127">
        <f>F45</f>
        <v>0.35</v>
      </c>
      <c r="G127">
        <f>F127/D127</f>
        <v>0.03651538862806468</v>
      </c>
      <c r="H127">
        <f t="shared" si="63"/>
        <v>-7.793040000000002</v>
      </c>
      <c r="I127">
        <f>I45</f>
        <v>50</v>
      </c>
      <c r="J127">
        <f t="shared" si="61"/>
        <v>50</v>
      </c>
      <c r="K127">
        <f t="shared" si="62"/>
        <v>16.887500000000003</v>
      </c>
    </row>
    <row r="128" spans="1:11" ht="12.75">
      <c r="A128" s="1" t="s">
        <v>75</v>
      </c>
      <c r="B128" t="str">
        <f aca="true" t="shared" si="75" ref="B128:G128">B4</f>
        <v>Teflon</v>
      </c>
      <c r="C128">
        <f t="shared" si="75"/>
        <v>2.2</v>
      </c>
      <c r="D128">
        <f t="shared" si="75"/>
        <v>49.3</v>
      </c>
      <c r="E128" t="str">
        <f t="shared" si="75"/>
        <v>Sheet</v>
      </c>
      <c r="F128">
        <f t="shared" si="75"/>
        <v>0.00508</v>
      </c>
      <c r="G128">
        <f t="shared" si="75"/>
        <v>0.0001030425963488844</v>
      </c>
      <c r="H128">
        <f t="shared" si="63"/>
        <v>-8.143040000000003</v>
      </c>
      <c r="I128">
        <f>I129</f>
        <v>50</v>
      </c>
      <c r="J128">
        <f t="shared" si="61"/>
        <v>50</v>
      </c>
      <c r="K128">
        <f t="shared" si="62"/>
        <v>0.027940000000000003</v>
      </c>
    </row>
    <row r="129" spans="1:11" ht="12.75">
      <c r="A129" t="s">
        <v>49</v>
      </c>
      <c r="B129" t="str">
        <f>B47</f>
        <v>BC408</v>
      </c>
      <c r="C129">
        <f>C47</f>
        <v>1.032</v>
      </c>
      <c r="D129">
        <f>D47</f>
        <v>79.457</v>
      </c>
      <c r="E129" t="str">
        <f>E47</f>
        <v>Box</v>
      </c>
      <c r="F129">
        <f>F47</f>
        <v>0.05</v>
      </c>
      <c r="G129">
        <f>F129/D129</f>
        <v>0.0006292711781214998</v>
      </c>
      <c r="H129">
        <f t="shared" si="63"/>
        <v>-8.148120000000002</v>
      </c>
      <c r="I129">
        <f>I47</f>
        <v>50</v>
      </c>
      <c r="J129">
        <f t="shared" si="61"/>
        <v>50</v>
      </c>
      <c r="K129">
        <f t="shared" si="62"/>
        <v>0.12900000000000003</v>
      </c>
    </row>
    <row r="130" spans="1:11" ht="12.75">
      <c r="A130" s="1" t="s">
        <v>75</v>
      </c>
      <c r="B130" t="str">
        <f aca="true" t="shared" si="76" ref="B130:G130">B4</f>
        <v>Teflon</v>
      </c>
      <c r="C130">
        <f t="shared" si="76"/>
        <v>2.2</v>
      </c>
      <c r="D130">
        <f t="shared" si="76"/>
        <v>49.3</v>
      </c>
      <c r="E130" t="str">
        <f t="shared" si="76"/>
        <v>Sheet</v>
      </c>
      <c r="F130">
        <f t="shared" si="76"/>
        <v>0.00508</v>
      </c>
      <c r="G130">
        <f t="shared" si="76"/>
        <v>0.0001030425963488844</v>
      </c>
      <c r="H130">
        <f t="shared" si="63"/>
        <v>-8.198120000000003</v>
      </c>
      <c r="I130">
        <f>I129</f>
        <v>50</v>
      </c>
      <c r="J130">
        <f t="shared" si="61"/>
        <v>50</v>
      </c>
      <c r="K130">
        <f t="shared" si="62"/>
        <v>0.027940000000000003</v>
      </c>
    </row>
    <row r="131" spans="1:7" ht="12.75">
      <c r="A131" s="36" t="s">
        <v>83</v>
      </c>
      <c r="B131" s="36"/>
      <c r="C131" s="10"/>
      <c r="D131" s="10"/>
      <c r="E131" s="10"/>
      <c r="F131" s="10"/>
      <c r="G131" s="10"/>
    </row>
    <row r="132" spans="1:8" ht="12.75">
      <c r="A132" s="8" t="s">
        <v>0</v>
      </c>
      <c r="B132" s="36" t="s">
        <v>122</v>
      </c>
      <c r="C132" s="36"/>
      <c r="D132" s="8" t="s">
        <v>84</v>
      </c>
      <c r="E132" s="8" t="s">
        <v>85</v>
      </c>
      <c r="F132" s="8" t="s">
        <v>86</v>
      </c>
      <c r="G132" s="9" t="s">
        <v>138</v>
      </c>
      <c r="H132" s="8" t="s">
        <v>91</v>
      </c>
    </row>
    <row r="133" spans="1:8" ht="12.75">
      <c r="A133" s="1" t="s">
        <v>60</v>
      </c>
      <c r="B133">
        <f>(I5+I8)*2*2/30+8</f>
        <v>40</v>
      </c>
      <c r="C133">
        <f>B133*0.4</f>
        <v>16</v>
      </c>
      <c r="D133">
        <v>29.82</v>
      </c>
      <c r="F133">
        <v>13.635</v>
      </c>
      <c r="G133">
        <v>23.48</v>
      </c>
      <c r="H133">
        <f>C133+D133+E133+F133+G133</f>
        <v>82.935</v>
      </c>
    </row>
    <row r="134" spans="1:8" ht="12.75">
      <c r="A134" s="1" t="s">
        <v>7</v>
      </c>
      <c r="E134">
        <v>30</v>
      </c>
      <c r="F134">
        <v>15.1</v>
      </c>
      <c r="G134">
        <v>10</v>
      </c>
      <c r="H134">
        <f>C134+D134+E134+F134+G134</f>
        <v>55.1</v>
      </c>
    </row>
    <row r="135" spans="1:8" ht="12.75">
      <c r="A135" s="1" t="s">
        <v>87</v>
      </c>
      <c r="B135">
        <f>(INT((INT((INT(I23/2)+1)^2/68))/2)+1)*2</f>
        <v>24</v>
      </c>
      <c r="C135">
        <f>B135*0.5</f>
        <v>12</v>
      </c>
      <c r="D135">
        <v>10</v>
      </c>
      <c r="F135">
        <v>4.34</v>
      </c>
      <c r="H135">
        <f>C135+D135+E135+F135+G135</f>
        <v>26.34</v>
      </c>
    </row>
    <row r="136" spans="1:8" ht="12.75">
      <c r="A136" s="1" t="s">
        <v>63</v>
      </c>
      <c r="B136">
        <f>(INT(I26/0.2/68)+1)*2+(INT(I33/0.2/68)+1)*2</f>
        <v>22</v>
      </c>
      <c r="C136">
        <f>B136*0.5</f>
        <v>11</v>
      </c>
      <c r="D136">
        <v>6</v>
      </c>
      <c r="F136">
        <v>4.34</v>
      </c>
      <c r="H136">
        <f>C136+D136+E136+F136+G136</f>
        <v>21.34</v>
      </c>
    </row>
    <row r="137" spans="1:8" ht="12.75">
      <c r="A137" s="1" t="s">
        <v>64</v>
      </c>
      <c r="B137">
        <v>20</v>
      </c>
      <c r="C137">
        <f>B137*0.5</f>
        <v>10</v>
      </c>
      <c r="D137">
        <v>6</v>
      </c>
      <c r="F137">
        <v>8.68</v>
      </c>
      <c r="G137">
        <v>4.2</v>
      </c>
      <c r="H137">
        <f>C137+D137+E137+F137+G137</f>
        <v>28.88</v>
      </c>
    </row>
    <row r="138" spans="1:8" ht="12.75">
      <c r="A138" s="1" t="s">
        <v>88</v>
      </c>
      <c r="C138">
        <f aca="true" t="shared" si="77" ref="C138:H138">SUM(C133:C137)</f>
        <v>49</v>
      </c>
      <c r="D138">
        <f t="shared" si="77"/>
        <v>51.82</v>
      </c>
      <c r="E138">
        <f t="shared" si="77"/>
        <v>30</v>
      </c>
      <c r="F138">
        <f t="shared" si="77"/>
        <v>46.095000000000006</v>
      </c>
      <c r="G138">
        <f t="shared" si="77"/>
        <v>37.68000000000001</v>
      </c>
      <c r="H138">
        <f t="shared" si="77"/>
        <v>214.595</v>
      </c>
    </row>
    <row r="139" ht="12.75">
      <c r="A139" s="1"/>
    </row>
    <row r="140" spans="1:2" ht="12.75">
      <c r="A140" s="36" t="s">
        <v>66</v>
      </c>
      <c r="B140" s="36"/>
    </row>
    <row r="141" spans="1:2" ht="12.75">
      <c r="A141" s="8" t="s">
        <v>59</v>
      </c>
      <c r="B141" s="8" t="s">
        <v>67</v>
      </c>
    </row>
    <row r="142" spans="1:2" ht="12.75">
      <c r="A142" s="9">
        <v>30</v>
      </c>
      <c r="B142">
        <f>A142*3.141592654/180</f>
        <v>0.5235987756666667</v>
      </c>
    </row>
    <row r="143" ht="12.75">
      <c r="A143" s="9"/>
    </row>
    <row r="144" spans="1:6" ht="12.75">
      <c r="A144" s="8" t="s">
        <v>0</v>
      </c>
      <c r="B144" s="8" t="s">
        <v>58</v>
      </c>
      <c r="C144" s="36" t="s">
        <v>3</v>
      </c>
      <c r="D144" s="36"/>
      <c r="E144" s="36" t="s">
        <v>93</v>
      </c>
      <c r="F144" s="36"/>
    </row>
    <row r="145" spans="1:11" ht="12.75">
      <c r="A145" s="8"/>
      <c r="B145" s="10"/>
      <c r="C145" s="8" t="s">
        <v>94</v>
      </c>
      <c r="D145" s="7" t="s">
        <v>95</v>
      </c>
      <c r="E145" s="8" t="s">
        <v>92</v>
      </c>
      <c r="F145" s="8" t="s">
        <v>91</v>
      </c>
      <c r="G145" s="9" t="s">
        <v>58</v>
      </c>
      <c r="H145" s="8" t="s">
        <v>121</v>
      </c>
      <c r="I145" s="8"/>
      <c r="J145" s="8"/>
      <c r="K145" s="8"/>
    </row>
    <row r="146" spans="1:8" ht="12.75">
      <c r="A146" t="s">
        <v>60</v>
      </c>
      <c r="C146">
        <f>SUM(F4:F9)+SUM(F13:F18)+SUM(F39:F44)</f>
        <v>3.0609599999999997</v>
      </c>
      <c r="D146">
        <f>SUM(G4:G9)+SUM(G13:G18)+SUM(G39:G44)</f>
        <v>0.0389927818434766</v>
      </c>
      <c r="E146">
        <f>(SUM(K4:K9)+SUM(K13:K18)+SUM(K39:K44))</f>
        <v>33.92048281600001</v>
      </c>
      <c r="F146">
        <f>E146+H133</f>
        <v>116.855482816</v>
      </c>
      <c r="G146">
        <f>F146*(1/0.8-1)</f>
        <v>29.213870704</v>
      </c>
      <c r="H146">
        <f aca="true" t="shared" si="78" ref="H146:H151">F146+G146</f>
        <v>146.06935352</v>
      </c>
    </row>
    <row r="147" spans="1:8" ht="12.75">
      <c r="A147" t="s">
        <v>7</v>
      </c>
      <c r="C147">
        <f>SUM(F10:F12)+SUM(F19:F19)+SUM(F20:F21)</f>
        <v>71.27000000000001</v>
      </c>
      <c r="D147">
        <f>SUM(G10:G12)+SUM(G19:G19)+SUM(G20:G21)</f>
        <v>0.042682926829268296</v>
      </c>
      <c r="E147">
        <f>SUM(K10:K12)+SUM(K19:K19)+SUM(K20:K21)</f>
        <v>75.4</v>
      </c>
      <c r="F147">
        <f>E147+H134</f>
        <v>130.5</v>
      </c>
      <c r="G147">
        <f>F147*(1/0.9-1)</f>
        <v>14.500000000000007</v>
      </c>
      <c r="H147">
        <f t="shared" si="78"/>
        <v>145</v>
      </c>
    </row>
    <row r="148" spans="1:8" ht="12.75">
      <c r="A148" s="19" t="s">
        <v>72</v>
      </c>
      <c r="B148" s="19"/>
      <c r="C148" s="19">
        <f>SUM(F22:F24)</f>
        <v>1.01016</v>
      </c>
      <c r="D148" s="19">
        <f>SUM(G22:G24)</f>
        <v>0.012791508755127764</v>
      </c>
      <c r="E148" s="19">
        <f>SUM(K22:K24)</f>
        <v>6.089937152</v>
      </c>
      <c r="F148" s="19">
        <f>E148+H135</f>
        <v>32.429937152</v>
      </c>
      <c r="G148" s="19">
        <f>F148*(1/0.8-1)</f>
        <v>8.107484288</v>
      </c>
      <c r="H148" s="19">
        <f t="shared" si="78"/>
        <v>40.53742144</v>
      </c>
    </row>
    <row r="149" spans="1:10" ht="12.75">
      <c r="A149" s="4" t="s">
        <v>61</v>
      </c>
      <c r="B149" s="5"/>
      <c r="C149" s="5">
        <f>SUM(F25:F30)+SUM(F32:F37)+SUM(F39:F44)</f>
        <v>1.86096</v>
      </c>
      <c r="D149" s="5">
        <f>SUM(G25:G30)+SUM(G32:G37)+SUM(G39:G44)</f>
        <v>0.023890273568560605</v>
      </c>
      <c r="E149" s="5">
        <f>SUM(K25:K30)+SUM(K32:K37)</f>
        <v>4.323174897920001</v>
      </c>
      <c r="F149" s="5">
        <f>E149+H136</f>
        <v>25.66317489792</v>
      </c>
      <c r="G149" s="5">
        <f>F149*(1/0.8-1)</f>
        <v>6.41579372448</v>
      </c>
      <c r="H149" s="19">
        <f t="shared" si="78"/>
        <v>32.0789686224</v>
      </c>
      <c r="I149" s="5"/>
      <c r="J149" s="3"/>
    </row>
    <row r="150" spans="1:9" s="3" customFormat="1" ht="12">
      <c r="A150" s="4" t="s">
        <v>62</v>
      </c>
      <c r="B150" s="5"/>
      <c r="C150" s="5">
        <f>F31+F38</f>
        <v>19</v>
      </c>
      <c r="D150" s="5">
        <f>G31+G38</f>
        <v>0.46235942361509447</v>
      </c>
      <c r="E150" s="5">
        <f>K31+K38</f>
        <v>158.14704027516365</v>
      </c>
      <c r="F150" s="5">
        <f>E150</f>
        <v>158.14704027516365</v>
      </c>
      <c r="G150" s="5">
        <f>F150*(1/0.99-1)</f>
        <v>1.5974448512642896</v>
      </c>
      <c r="H150" s="19">
        <f t="shared" si="78"/>
        <v>159.74448512642795</v>
      </c>
      <c r="I150" s="5"/>
    </row>
    <row r="151" spans="1:10" s="3" customFormat="1" ht="12.75">
      <c r="A151" s="18" t="s">
        <v>119</v>
      </c>
      <c r="B151" s="19"/>
      <c r="C151" s="19">
        <f>C149+C150</f>
        <v>20.86096</v>
      </c>
      <c r="D151" s="19">
        <f>D149+D150</f>
        <v>0.48624969718365507</v>
      </c>
      <c r="E151" s="19">
        <f>E149+E150</f>
        <v>162.47021517308366</v>
      </c>
      <c r="F151" s="19">
        <f>F149+F150</f>
        <v>183.81021517308363</v>
      </c>
      <c r="G151" s="19">
        <f>G149+G150</f>
        <v>8.013238575744289</v>
      </c>
      <c r="H151" s="19">
        <f t="shared" si="78"/>
        <v>191.82345374882792</v>
      </c>
      <c r="I151"/>
      <c r="J151"/>
    </row>
    <row r="152" spans="1:8" ht="12.75">
      <c r="A152" s="19" t="s">
        <v>120</v>
      </c>
      <c r="B152" s="19"/>
      <c r="C152" s="19">
        <f>SUM(F45:F130)</f>
        <v>8.203200000000002</v>
      </c>
      <c r="D152" s="19">
        <f>SUM(G45:G130)</f>
        <v>0.7470148999776784</v>
      </c>
      <c r="E152" s="19">
        <f>SUM(K45:K130)</f>
        <v>341.4476000000002</v>
      </c>
      <c r="F152" s="19">
        <f>E152+H137</f>
        <v>370.3276000000002</v>
      </c>
      <c r="G152" s="19">
        <f>K45*20*(1/0.95-1)+(F152-K45*20)*(1/0.8-1)</f>
        <v>25.9207157894737</v>
      </c>
      <c r="H152" s="19">
        <f>F152+G152</f>
        <v>396.2483157894739</v>
      </c>
    </row>
    <row r="153" spans="1:8" ht="12.75">
      <c r="A153" t="s">
        <v>118</v>
      </c>
      <c r="C153">
        <f>C148+C151+C152</f>
        <v>30.07432</v>
      </c>
      <c r="D153">
        <f>D148+D151+D152</f>
        <v>1.2460561059164612</v>
      </c>
      <c r="E153">
        <f>E148+E151+E152</f>
        <v>510.00775232508386</v>
      </c>
      <c r="F153">
        <f>F148+F151+F152</f>
        <v>586.5677523250838</v>
      </c>
      <c r="G153">
        <f>G148+G151+G152</f>
        <v>42.041438653217995</v>
      </c>
      <c r="H153">
        <f>H148+H151+H152</f>
        <v>628.6091909783019</v>
      </c>
    </row>
    <row r="154" spans="1:9" ht="12.75">
      <c r="A154" s="9" t="s">
        <v>65</v>
      </c>
      <c r="C154" s="9">
        <f aca="true" t="shared" si="79" ref="C154:H154">C146+C147+C153</f>
        <v>104.40528</v>
      </c>
      <c r="D154" s="9">
        <f t="shared" si="79"/>
        <v>1.327731814589206</v>
      </c>
      <c r="E154" s="9">
        <f t="shared" si="79"/>
        <v>619.3282351410838</v>
      </c>
      <c r="F154" s="9">
        <f t="shared" si="79"/>
        <v>833.9232351410838</v>
      </c>
      <c r="G154" s="9">
        <f t="shared" si="79"/>
        <v>85.75530935721801</v>
      </c>
      <c r="H154" s="9">
        <f t="shared" si="79"/>
        <v>919.6785444983018</v>
      </c>
      <c r="I154" s="9"/>
    </row>
    <row r="155" ht="12" customHeight="1"/>
    <row r="156" spans="1:8" ht="15.75">
      <c r="A156" s="38" t="s">
        <v>102</v>
      </c>
      <c r="B156" s="38"/>
      <c r="C156" s="38"/>
      <c r="D156" s="15"/>
      <c r="E156" s="38" t="s">
        <v>103</v>
      </c>
      <c r="F156" s="38"/>
      <c r="G156" s="38"/>
      <c r="H156" s="38"/>
    </row>
    <row r="157" spans="1:9" s="29" customFormat="1" ht="15">
      <c r="A157" s="39"/>
      <c r="B157" s="39"/>
      <c r="C157" s="17"/>
      <c r="D157" s="28"/>
      <c r="E157" s="39"/>
      <c r="F157" s="39"/>
      <c r="G157" s="39"/>
      <c r="H157" s="17"/>
      <c r="I157" s="9" t="s">
        <v>110</v>
      </c>
    </row>
    <row r="158" spans="1:9" s="1" customFormat="1" ht="12.75">
      <c r="A158" s="32" t="s">
        <v>129</v>
      </c>
      <c r="B158" s="32"/>
      <c r="C158" s="13">
        <v>4310</v>
      </c>
      <c r="D158" s="9"/>
      <c r="E158" s="33"/>
      <c r="F158" s="33"/>
      <c r="G158" s="33"/>
      <c r="H158" s="13"/>
      <c r="I158" s="13" t="s">
        <v>137</v>
      </c>
    </row>
    <row r="159" spans="1:9" s="1" customFormat="1" ht="12.75">
      <c r="A159" s="31" t="s">
        <v>132</v>
      </c>
      <c r="B159" s="31"/>
      <c r="C159" s="14">
        <f>C158*12/112</f>
        <v>461.7857142857143</v>
      </c>
      <c r="D159" s="9"/>
      <c r="E159" s="31"/>
      <c r="F159" s="31"/>
      <c r="G159" s="31"/>
      <c r="H159" s="13"/>
      <c r="I159" s="13"/>
    </row>
    <row r="160" spans="1:9" s="1" customFormat="1" ht="12.75">
      <c r="A160" s="32" t="s">
        <v>131</v>
      </c>
      <c r="B160" s="32"/>
      <c r="C160" s="26">
        <f>C158-C159</f>
        <v>3848.214285714286</v>
      </c>
      <c r="D160" s="9"/>
      <c r="E160" s="32"/>
      <c r="F160" s="32"/>
      <c r="G160" s="32"/>
      <c r="H160" s="13"/>
      <c r="I160" s="13"/>
    </row>
    <row r="161" spans="1:9" s="1" customFormat="1" ht="12.75">
      <c r="A161" s="31" t="s">
        <v>133</v>
      </c>
      <c r="B161" s="31"/>
      <c r="C161" s="14">
        <v>1628</v>
      </c>
      <c r="D161" s="9"/>
      <c r="E161" s="32"/>
      <c r="F161" s="32"/>
      <c r="G161" s="32"/>
      <c r="H161" s="13"/>
      <c r="I161" s="14"/>
    </row>
    <row r="162" spans="1:9" s="1" customFormat="1" ht="12.75">
      <c r="A162" s="32" t="s">
        <v>126</v>
      </c>
      <c r="B162" s="32"/>
      <c r="C162" s="26">
        <f>C160-C161</f>
        <v>2220.214285714286</v>
      </c>
      <c r="D162" s="9"/>
      <c r="E162" s="32" t="s">
        <v>127</v>
      </c>
      <c r="F162" s="32"/>
      <c r="G162" s="32"/>
      <c r="H162" s="9">
        <v>1590.9</v>
      </c>
      <c r="I162" s="9">
        <v>2045.4</v>
      </c>
    </row>
    <row r="163" spans="1:9" s="1" customFormat="1" ht="12.75">
      <c r="A163" s="31" t="s">
        <v>134</v>
      </c>
      <c r="B163" s="31"/>
      <c r="C163" s="14">
        <v>127</v>
      </c>
      <c r="D163" s="9"/>
      <c r="E163" s="31" t="s">
        <v>97</v>
      </c>
      <c r="F163" s="31"/>
      <c r="G163" s="31"/>
      <c r="H163" s="14">
        <v>428.2</v>
      </c>
      <c r="I163" s="1">
        <f>H163</f>
        <v>428.2</v>
      </c>
    </row>
    <row r="164" spans="1:9" s="1" customFormat="1" ht="12.75">
      <c r="A164" s="31" t="s">
        <v>135</v>
      </c>
      <c r="B164" s="31"/>
      <c r="C164" s="14">
        <v>230</v>
      </c>
      <c r="D164" s="9"/>
      <c r="E164" s="31" t="s">
        <v>98</v>
      </c>
      <c r="F164" s="31"/>
      <c r="G164" s="31"/>
      <c r="H164" s="1">
        <v>151.4</v>
      </c>
      <c r="I164" s="1">
        <f>H164</f>
        <v>151.4</v>
      </c>
    </row>
    <row r="165" spans="1:9" s="1" customFormat="1" ht="12.75">
      <c r="A165" s="32" t="s">
        <v>136</v>
      </c>
      <c r="B165" s="32"/>
      <c r="C165" s="26">
        <f>C162-SUM(C163:C164)</f>
        <v>1863.2142857142858</v>
      </c>
      <c r="D165" s="9"/>
      <c r="E165" s="31" t="s">
        <v>128</v>
      </c>
      <c r="F165" s="31"/>
      <c r="G165" s="31"/>
      <c r="H165" s="21">
        <v>237.7</v>
      </c>
      <c r="I165" s="21">
        <f>H165</f>
        <v>237.7</v>
      </c>
    </row>
    <row r="166" spans="1:9" ht="12.75">
      <c r="A166" s="31" t="s">
        <v>98</v>
      </c>
      <c r="B166" s="31"/>
      <c r="C166" s="14">
        <v>243</v>
      </c>
      <c r="D166" s="20"/>
      <c r="E166" s="31" t="s">
        <v>116</v>
      </c>
      <c r="F166" s="31"/>
      <c r="G166" s="31"/>
      <c r="H166" s="21">
        <v>25</v>
      </c>
      <c r="I166" s="21">
        <f>H166</f>
        <v>25</v>
      </c>
    </row>
    <row r="167" spans="1:9" ht="12.75">
      <c r="A167" s="31" t="s">
        <v>128</v>
      </c>
      <c r="B167" s="31"/>
      <c r="C167" s="14">
        <v>237.7</v>
      </c>
      <c r="D167" s="20"/>
      <c r="E167" s="31"/>
      <c r="F167" s="31"/>
      <c r="G167" s="31"/>
      <c r="H167" s="21"/>
      <c r="I167" s="21"/>
    </row>
    <row r="168" spans="1:9" ht="12.75">
      <c r="A168" s="31" t="s">
        <v>116</v>
      </c>
      <c r="B168" s="31"/>
      <c r="C168" s="14">
        <v>25</v>
      </c>
      <c r="D168" s="20"/>
      <c r="E168" s="31"/>
      <c r="F168" s="31"/>
      <c r="G168" s="31"/>
      <c r="H168" s="21"/>
      <c r="I168" s="21"/>
    </row>
    <row r="169" spans="1:9" ht="12.75">
      <c r="A169" s="32" t="s">
        <v>130</v>
      </c>
      <c r="B169" s="32"/>
      <c r="C169" s="23">
        <f>C165-SUM(C166:C168)</f>
        <v>1357.5142857142857</v>
      </c>
      <c r="D169" s="20"/>
      <c r="E169" s="32" t="s">
        <v>130</v>
      </c>
      <c r="F169" s="32"/>
      <c r="G169" s="32"/>
      <c r="H169" s="9">
        <f>H162-SUM(H163:H166)</f>
        <v>748.6000000000001</v>
      </c>
      <c r="I169" s="9">
        <f>I162-SUM(I163:I166)</f>
        <v>1203.1000000000001</v>
      </c>
    </row>
    <row r="170" spans="1:9" ht="12.75">
      <c r="A170" s="34" t="s">
        <v>107</v>
      </c>
      <c r="B170" s="34"/>
      <c r="C170" s="22">
        <f>150/2.2</f>
        <v>68.18181818181817</v>
      </c>
      <c r="D170" s="20"/>
      <c r="E170" s="34" t="s">
        <v>107</v>
      </c>
      <c r="F170" s="34"/>
      <c r="G170" s="34"/>
      <c r="H170" s="22">
        <f>150/2.2</f>
        <v>68.18181818181817</v>
      </c>
      <c r="I170" s="24">
        <f>H170</f>
        <v>68.18181818181817</v>
      </c>
    </row>
    <row r="171" spans="1:9" ht="12.75">
      <c r="A171" s="31" t="s">
        <v>106</v>
      </c>
      <c r="B171" s="31"/>
      <c r="C171" s="1">
        <f>40/0.8</f>
        <v>50</v>
      </c>
      <c r="D171" s="20"/>
      <c r="E171" s="31" t="s">
        <v>106</v>
      </c>
      <c r="F171" s="31"/>
      <c r="G171" s="31"/>
      <c r="H171" s="30">
        <v>50</v>
      </c>
      <c r="I171" s="1">
        <f>H171</f>
        <v>50</v>
      </c>
    </row>
    <row r="172" spans="1:9" ht="12.75">
      <c r="A172" s="31" t="s">
        <v>96</v>
      </c>
      <c r="B172" s="31"/>
      <c r="C172" s="1">
        <v>119.7</v>
      </c>
      <c r="D172" s="20"/>
      <c r="E172" s="31" t="s">
        <v>96</v>
      </c>
      <c r="F172" s="31"/>
      <c r="G172" s="31"/>
      <c r="H172" s="1">
        <v>310</v>
      </c>
      <c r="I172" s="1">
        <f>H172</f>
        <v>310</v>
      </c>
    </row>
    <row r="173" spans="1:9" s="1" customFormat="1" ht="12.75">
      <c r="A173" s="35" t="s">
        <v>99</v>
      </c>
      <c r="B173" s="35"/>
      <c r="C173" s="1">
        <v>200</v>
      </c>
      <c r="D173" s="20"/>
      <c r="E173" s="31" t="s">
        <v>99</v>
      </c>
      <c r="F173" s="31"/>
      <c r="G173" s="31"/>
      <c r="H173" s="14">
        <v>200</v>
      </c>
      <c r="I173" s="14">
        <f>H173</f>
        <v>200</v>
      </c>
    </row>
    <row r="174" spans="1:9" ht="12.75">
      <c r="A174" s="32" t="s">
        <v>100</v>
      </c>
      <c r="B174" s="32"/>
      <c r="C174" s="23">
        <f>C169-SUM(C170:C173)</f>
        <v>919.6324675324676</v>
      </c>
      <c r="D174" s="20"/>
      <c r="E174" s="32" t="s">
        <v>100</v>
      </c>
      <c r="F174" s="32"/>
      <c r="G174" s="32"/>
      <c r="H174" s="23">
        <f>H169-SUM(H170:H173)</f>
        <v>120.41818181818189</v>
      </c>
      <c r="I174" s="23">
        <f>I169-SUM(I170:I173)</f>
        <v>574.9181818181819</v>
      </c>
    </row>
    <row r="175" spans="1:9" ht="12.75">
      <c r="A175" s="35" t="s">
        <v>60</v>
      </c>
      <c r="B175" s="35"/>
      <c r="C175" s="27">
        <f>H146</f>
        <v>146.06935352</v>
      </c>
      <c r="D175" s="20"/>
      <c r="E175" s="31" t="s">
        <v>60</v>
      </c>
      <c r="F175" s="31"/>
      <c r="G175" s="31"/>
      <c r="H175" s="14">
        <f>H146</f>
        <v>146.06935352</v>
      </c>
      <c r="I175" s="27">
        <f>H175</f>
        <v>146.06935352</v>
      </c>
    </row>
    <row r="176" spans="1:9" ht="12.75">
      <c r="A176" s="34" t="s">
        <v>7</v>
      </c>
      <c r="B176" s="34"/>
      <c r="C176">
        <f>H147</f>
        <v>145</v>
      </c>
      <c r="D176" s="20"/>
      <c r="E176" s="34" t="s">
        <v>7</v>
      </c>
      <c r="F176" s="34"/>
      <c r="G176" s="34"/>
      <c r="H176" s="14">
        <f>H147</f>
        <v>145</v>
      </c>
      <c r="I176" s="14">
        <f>H176</f>
        <v>145</v>
      </c>
    </row>
    <row r="177" spans="1:9" ht="12.75">
      <c r="A177" s="35" t="s">
        <v>117</v>
      </c>
      <c r="B177" s="35"/>
      <c r="C177" s="25">
        <f>H153</f>
        <v>628.6091909783019</v>
      </c>
      <c r="D177" s="20"/>
      <c r="E177" s="31" t="s">
        <v>117</v>
      </c>
      <c r="F177" s="31"/>
      <c r="G177" s="31"/>
      <c r="H177" s="24">
        <f>H153</f>
        <v>628.6091909783019</v>
      </c>
      <c r="I177" s="24">
        <f>H177</f>
        <v>628.6091909783019</v>
      </c>
    </row>
    <row r="178" spans="1:9" ht="12.75">
      <c r="A178" s="33" t="s">
        <v>101</v>
      </c>
      <c r="B178" s="33"/>
      <c r="C178" s="26">
        <f>H154</f>
        <v>919.6785444983018</v>
      </c>
      <c r="D178" s="20"/>
      <c r="E178" s="32" t="s">
        <v>101</v>
      </c>
      <c r="F178" s="32"/>
      <c r="G178" s="32"/>
      <c r="H178" s="26">
        <f>H154</f>
        <v>919.6785444983018</v>
      </c>
      <c r="I178" s="26">
        <f>H154</f>
        <v>919.6785444983018</v>
      </c>
    </row>
    <row r="179" spans="1:9" s="1" customFormat="1" ht="12.75">
      <c r="A179" s="34"/>
      <c r="B179" s="34"/>
      <c r="C179" s="12"/>
      <c r="D179" s="20"/>
      <c r="E179" s="32"/>
      <c r="F179" s="32"/>
      <c r="G179" s="32"/>
      <c r="H179" s="9"/>
      <c r="I179" s="9"/>
    </row>
    <row r="180" spans="1:9" ht="12.75">
      <c r="A180" s="32" t="s">
        <v>58</v>
      </c>
      <c r="B180" s="32"/>
      <c r="C180" s="23">
        <f>C174-C178</f>
        <v>-0.04607696583423149</v>
      </c>
      <c r="D180" s="20"/>
      <c r="E180" s="32" t="s">
        <v>58</v>
      </c>
      <c r="F180" s="32"/>
      <c r="G180" s="32"/>
      <c r="H180" s="23">
        <f>H174-H178</f>
        <v>-799.2603626801199</v>
      </c>
      <c r="I180" s="23">
        <f>I174-I178</f>
        <v>-344.7603626801199</v>
      </c>
    </row>
    <row r="181" spans="1:5" ht="15">
      <c r="A181" s="17"/>
      <c r="B181" s="17"/>
      <c r="C181" s="10"/>
      <c r="D181" s="2"/>
      <c r="E181" s="2"/>
    </row>
    <row r="182" spans="1:9" ht="15">
      <c r="A182" s="40" t="s">
        <v>108</v>
      </c>
      <c r="B182" s="40"/>
      <c r="C182" s="10"/>
      <c r="D182" s="2"/>
      <c r="E182" s="2"/>
      <c r="F182" s="10"/>
      <c r="G182" s="10"/>
      <c r="H182" s="10"/>
      <c r="I182" s="10"/>
    </row>
    <row r="183" spans="1:9" ht="12.75">
      <c r="A183" s="10"/>
      <c r="B183" s="10"/>
      <c r="C183" s="10"/>
      <c r="D183" s="2"/>
      <c r="E183" s="2"/>
      <c r="F183" s="10"/>
      <c r="G183" s="10"/>
      <c r="H183" s="10"/>
      <c r="I183" s="10"/>
    </row>
    <row r="184" spans="1:9" ht="12.75">
      <c r="A184" s="34" t="s">
        <v>109</v>
      </c>
      <c r="B184" s="34"/>
      <c r="C184" s="34"/>
      <c r="D184" s="34"/>
      <c r="E184" s="34"/>
      <c r="F184" s="2"/>
      <c r="G184" s="2"/>
      <c r="H184" s="2"/>
      <c r="I184" s="2"/>
    </row>
    <row r="185" spans="1:9" ht="12.75">
      <c r="A185" s="34" t="s">
        <v>114</v>
      </c>
      <c r="B185" s="34"/>
      <c r="C185" s="34"/>
      <c r="D185" s="34"/>
      <c r="E185" s="34"/>
      <c r="F185" s="2"/>
      <c r="G185" s="2"/>
      <c r="H185" s="2"/>
      <c r="I185" s="2"/>
    </row>
    <row r="186" spans="1:9" ht="12.75">
      <c r="A186" s="34" t="s">
        <v>111</v>
      </c>
      <c r="B186" s="34"/>
      <c r="C186" s="34"/>
      <c r="D186" s="34"/>
      <c r="E186" s="34"/>
      <c r="F186" s="2"/>
      <c r="G186" s="2"/>
      <c r="H186" s="2"/>
      <c r="I186" s="2"/>
    </row>
    <row r="187" spans="1:9" ht="12.75">
      <c r="A187" s="34" t="s">
        <v>115</v>
      </c>
      <c r="B187" s="34"/>
      <c r="C187" s="34"/>
      <c r="D187" s="34"/>
      <c r="E187" s="34"/>
      <c r="F187" s="2"/>
      <c r="G187" s="2"/>
      <c r="H187" s="2"/>
      <c r="I187" s="2"/>
    </row>
    <row r="188" spans="1:9" ht="12.75">
      <c r="A188" s="34" t="s">
        <v>123</v>
      </c>
      <c r="B188" s="34"/>
      <c r="C188" s="34"/>
      <c r="D188" s="34"/>
      <c r="E188" s="34"/>
      <c r="F188" s="2"/>
      <c r="G188" s="2"/>
      <c r="H188" s="2"/>
      <c r="I188" s="2"/>
    </row>
    <row r="189" spans="1:12" ht="12.75">
      <c r="A189" s="34" t="s">
        <v>124</v>
      </c>
      <c r="B189" s="34"/>
      <c r="C189" s="34"/>
      <c r="D189" s="34"/>
      <c r="E189" s="34"/>
      <c r="F189" s="2"/>
      <c r="G189" s="2"/>
      <c r="H189" s="2"/>
      <c r="I189" s="2"/>
      <c r="L189" s="11"/>
    </row>
    <row r="190" spans="1:5" ht="12.75">
      <c r="A190" s="34" t="s">
        <v>125</v>
      </c>
      <c r="B190" s="34"/>
      <c r="C190" s="34"/>
      <c r="D190" s="34"/>
      <c r="E190" s="34"/>
    </row>
  </sheetData>
  <mergeCells count="66">
    <mergeCell ref="A187:E187"/>
    <mergeCell ref="A186:E186"/>
    <mergeCell ref="A185:E185"/>
    <mergeCell ref="A184:E184"/>
    <mergeCell ref="A190:E190"/>
    <mergeCell ref="A189:E189"/>
    <mergeCell ref="A188:E188"/>
    <mergeCell ref="A182:B182"/>
    <mergeCell ref="E156:H156"/>
    <mergeCell ref="A169:B169"/>
    <mergeCell ref="E171:G171"/>
    <mergeCell ref="E162:G162"/>
    <mergeCell ref="E170:G170"/>
    <mergeCell ref="E173:G173"/>
    <mergeCell ref="E164:G164"/>
    <mergeCell ref="E169:G169"/>
    <mergeCell ref="E175:G175"/>
    <mergeCell ref="E174:G174"/>
    <mergeCell ref="E172:G172"/>
    <mergeCell ref="A156:C156"/>
    <mergeCell ref="A171:B171"/>
    <mergeCell ref="E157:G157"/>
    <mergeCell ref="E161:G161"/>
    <mergeCell ref="A161:B161"/>
    <mergeCell ref="A157:B157"/>
    <mergeCell ref="A160:B160"/>
    <mergeCell ref="E163:G163"/>
    <mergeCell ref="A175:B175"/>
    <mergeCell ref="A174:B174"/>
    <mergeCell ref="A162:B162"/>
    <mergeCell ref="A168:B168"/>
    <mergeCell ref="A173:B173"/>
    <mergeCell ref="A170:B170"/>
    <mergeCell ref="A172:B172"/>
    <mergeCell ref="A163:B163"/>
    <mergeCell ref="E144:F144"/>
    <mergeCell ref="F1:G1"/>
    <mergeCell ref="A131:B131"/>
    <mergeCell ref="F51:G51"/>
    <mergeCell ref="F101:G101"/>
    <mergeCell ref="B132:C132"/>
    <mergeCell ref="A140:B140"/>
    <mergeCell ref="C144:D144"/>
    <mergeCell ref="A179:B179"/>
    <mergeCell ref="E180:G180"/>
    <mergeCell ref="E179:G179"/>
    <mergeCell ref="E176:G176"/>
    <mergeCell ref="E178:G178"/>
    <mergeCell ref="A180:B180"/>
    <mergeCell ref="A177:B177"/>
    <mergeCell ref="A178:B178"/>
    <mergeCell ref="A176:B176"/>
    <mergeCell ref="E177:G177"/>
    <mergeCell ref="A159:B159"/>
    <mergeCell ref="A158:B158"/>
    <mergeCell ref="E158:G158"/>
    <mergeCell ref="E160:G160"/>
    <mergeCell ref="E159:G159"/>
    <mergeCell ref="E167:G167"/>
    <mergeCell ref="E168:G168"/>
    <mergeCell ref="A164:B164"/>
    <mergeCell ref="A165:B165"/>
    <mergeCell ref="E166:G166"/>
    <mergeCell ref="A166:B166"/>
    <mergeCell ref="A167:B167"/>
    <mergeCell ref="E165:G165"/>
  </mergeCells>
  <printOptions gridLines="1"/>
  <pageMargins left="0.75" right="0.75" top="1" bottom="1" header="0.5" footer="0.5"/>
  <pageSetup orientation="portrait" scale="77" r:id="rId1"/>
  <headerFooter alignWithMargins="0">
    <oddHeader>&amp;CCREAM Weight Budget
(Alternate baseline, strip SCNs, HPDs)&amp;R&amp;D</oddHeader>
    <oddFooter>&amp;CPage &amp;P</oddFooter>
  </headerFooter>
  <rowBreaks count="3" manualBreakCount="3">
    <brk id="50" max="255" man="1"/>
    <brk id="100" max="255" man="1"/>
    <brk id="1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Opher Ganel</dc:creator>
  <cp:keywords/>
  <dc:description/>
  <cp:lastModifiedBy>Opher Ganel</cp:lastModifiedBy>
  <cp:lastPrinted>2000-02-29T21:38:53Z</cp:lastPrinted>
  <dcterms:created xsi:type="dcterms:W3CDTF">1999-02-26T17:01:41Z</dcterms:created>
  <dcterms:modified xsi:type="dcterms:W3CDTF">2000-06-01T00:55:35Z</dcterms:modified>
  <cp:category/>
  <cp:version/>
  <cp:contentType/>
  <cp:contentStatus/>
</cp:coreProperties>
</file>